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Documents\Documentos Asus\Capacitación\2019\Curso RT 6\"/>
    </mc:Choice>
  </mc:AlternateContent>
  <bookViews>
    <workbookView xWindow="0" yWindow="0" windowWidth="25200" windowHeight="11985" firstSheet="1" activeTab="1"/>
  </bookViews>
  <sheets>
    <sheet name="ipc empalme ipim" sheetId="3" r:id="rId1"/>
    <sheet name="Planteo general" sheetId="1" r:id="rId2"/>
    <sheet name="INFORMACIÓN_ADICIONAL" sheetId="2" r:id="rId3"/>
    <sheet name="ES_INICIO" sheetId="6" r:id="rId4"/>
    <sheet name="PPE_INICIO" sheetId="4" r:id="rId5"/>
    <sheet name="PPE_CIERRE" sheetId="7" r:id="rId6"/>
    <sheet name="COSTO_DE_VENTAS_2018" sheetId="8" r:id="rId7"/>
    <sheet name="PATRIMONIO_2018" sheetId="9" r:id="rId8"/>
  </sheets>
  <definedNames>
    <definedName name="_xlnm.Print_Titles" localSheetId="0">'ipc empalme ipim'!$1:$3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6" i="1" l="1"/>
  <c r="F167" i="1"/>
  <c r="E167" i="1"/>
  <c r="C163" i="1"/>
  <c r="C171" i="1" s="1"/>
  <c r="D171" i="1"/>
  <c r="F173" i="1"/>
  <c r="E169" i="1"/>
  <c r="B171" i="1"/>
  <c r="E166" i="1"/>
  <c r="F163" i="1"/>
  <c r="E163" i="1"/>
  <c r="D163" i="1"/>
  <c r="B163" i="1"/>
  <c r="N52" i="1"/>
  <c r="M52" i="1"/>
  <c r="L52" i="1"/>
  <c r="K52" i="1"/>
  <c r="J52" i="1"/>
  <c r="I52" i="1"/>
  <c r="H52" i="1"/>
  <c r="G52" i="1"/>
  <c r="F52" i="1"/>
  <c r="E52" i="1"/>
  <c r="D52" i="1"/>
  <c r="C52" i="1"/>
  <c r="N51" i="1"/>
  <c r="M51" i="1"/>
  <c r="L51" i="1"/>
  <c r="K51" i="1"/>
  <c r="K129" i="1" s="1"/>
  <c r="J51" i="1"/>
  <c r="I51" i="1"/>
  <c r="H51" i="1"/>
  <c r="G51" i="1"/>
  <c r="G129" i="1" s="1"/>
  <c r="F51" i="1"/>
  <c r="E51" i="1"/>
  <c r="D51" i="1"/>
  <c r="C51" i="1"/>
  <c r="C129" i="1" s="1"/>
  <c r="N50" i="1"/>
  <c r="M50" i="1"/>
  <c r="L50" i="1"/>
  <c r="K50" i="1"/>
  <c r="J50" i="1"/>
  <c r="I50" i="1"/>
  <c r="H50" i="1"/>
  <c r="H128" i="1" s="1"/>
  <c r="G50" i="1"/>
  <c r="G128" i="1" s="1"/>
  <c r="F50" i="1"/>
  <c r="E50" i="1"/>
  <c r="D50" i="1"/>
  <c r="C50" i="1"/>
  <c r="N49" i="1"/>
  <c r="M49" i="1"/>
  <c r="M127" i="1" s="1"/>
  <c r="L49" i="1"/>
  <c r="L127" i="1" s="1"/>
  <c r="K49" i="1"/>
  <c r="J49" i="1"/>
  <c r="I49" i="1"/>
  <c r="H49" i="1"/>
  <c r="G49" i="1"/>
  <c r="F49" i="1"/>
  <c r="E49" i="1"/>
  <c r="E127" i="1" s="1"/>
  <c r="D49" i="1"/>
  <c r="D127" i="1" s="1"/>
  <c r="C49" i="1"/>
  <c r="N48" i="1"/>
  <c r="M48" i="1"/>
  <c r="L48" i="1"/>
  <c r="K48" i="1"/>
  <c r="J48" i="1"/>
  <c r="I48" i="1"/>
  <c r="H48" i="1"/>
  <c r="G48" i="1"/>
  <c r="F48" i="1"/>
  <c r="E48" i="1"/>
  <c r="D48" i="1"/>
  <c r="C48" i="1"/>
  <c r="N47" i="1"/>
  <c r="M47" i="1"/>
  <c r="L47" i="1"/>
  <c r="K47" i="1"/>
  <c r="K125" i="1" s="1"/>
  <c r="J47" i="1"/>
  <c r="I47" i="1"/>
  <c r="H47" i="1"/>
  <c r="G47" i="1"/>
  <c r="G125" i="1" s="1"/>
  <c r="F47" i="1"/>
  <c r="E47" i="1"/>
  <c r="D47" i="1"/>
  <c r="C47" i="1"/>
  <c r="C125" i="1" s="1"/>
  <c r="N46" i="1"/>
  <c r="M46" i="1"/>
  <c r="M124" i="1" s="1"/>
  <c r="L46" i="1"/>
  <c r="L124" i="1" s="1"/>
  <c r="K46" i="1"/>
  <c r="K124" i="1" s="1"/>
  <c r="J46" i="1"/>
  <c r="I46" i="1"/>
  <c r="H46" i="1"/>
  <c r="G46" i="1"/>
  <c r="G124" i="1" s="1"/>
  <c r="F46" i="1"/>
  <c r="E46" i="1"/>
  <c r="D46" i="1"/>
  <c r="D124" i="1" s="1"/>
  <c r="C46" i="1"/>
  <c r="C124" i="1" s="1"/>
  <c r="N45" i="1"/>
  <c r="M45" i="1"/>
  <c r="L45" i="1"/>
  <c r="L123" i="1" s="1"/>
  <c r="K45" i="1"/>
  <c r="J45" i="1"/>
  <c r="I45" i="1"/>
  <c r="H45" i="1"/>
  <c r="G45" i="1"/>
  <c r="F45" i="1"/>
  <c r="E45" i="1"/>
  <c r="E123" i="1" s="1"/>
  <c r="D45" i="1"/>
  <c r="D123" i="1" s="1"/>
  <c r="C45" i="1"/>
  <c r="N44" i="1"/>
  <c r="M44" i="1"/>
  <c r="L44" i="1"/>
  <c r="K44" i="1"/>
  <c r="J44" i="1"/>
  <c r="I44" i="1"/>
  <c r="H44" i="1"/>
  <c r="G44" i="1"/>
  <c r="G122" i="1" s="1"/>
  <c r="F44" i="1"/>
  <c r="E44" i="1"/>
  <c r="E122" i="1" s="1"/>
  <c r="D44" i="1"/>
  <c r="C44" i="1"/>
  <c r="N43" i="1"/>
  <c r="M43" i="1"/>
  <c r="L43" i="1"/>
  <c r="K43" i="1"/>
  <c r="J43" i="1"/>
  <c r="I43" i="1"/>
  <c r="H43" i="1"/>
  <c r="G43" i="1"/>
  <c r="G121" i="1" s="1"/>
  <c r="F43" i="1"/>
  <c r="E43" i="1"/>
  <c r="D43" i="1"/>
  <c r="C43" i="1"/>
  <c r="C121" i="1" s="1"/>
  <c r="N42" i="1"/>
  <c r="M42" i="1"/>
  <c r="L42" i="1"/>
  <c r="K42" i="1"/>
  <c r="J42" i="1"/>
  <c r="I42" i="1"/>
  <c r="H42" i="1"/>
  <c r="H120" i="1" s="1"/>
  <c r="G42" i="1"/>
  <c r="G120" i="1" s="1"/>
  <c r="F42" i="1"/>
  <c r="E42" i="1"/>
  <c r="D42" i="1"/>
  <c r="C42" i="1"/>
  <c r="N41" i="1"/>
  <c r="M41" i="1"/>
  <c r="L41" i="1"/>
  <c r="K41" i="1"/>
  <c r="J41" i="1"/>
  <c r="I41" i="1"/>
  <c r="H41" i="1"/>
  <c r="H119" i="1" s="1"/>
  <c r="G41" i="1"/>
  <c r="F41" i="1"/>
  <c r="E41" i="1"/>
  <c r="D41" i="1"/>
  <c r="C41" i="1"/>
  <c r="N40" i="1"/>
  <c r="M40" i="1"/>
  <c r="M118" i="1" s="1"/>
  <c r="L40" i="1"/>
  <c r="K40" i="1"/>
  <c r="K118" i="1" s="1"/>
  <c r="J40" i="1"/>
  <c r="I40" i="1"/>
  <c r="H40" i="1"/>
  <c r="G40" i="1"/>
  <c r="F40" i="1"/>
  <c r="E40" i="1"/>
  <c r="D40" i="1"/>
  <c r="C40" i="1"/>
  <c r="N39" i="1"/>
  <c r="M39" i="1"/>
  <c r="L39" i="1"/>
  <c r="K39" i="1"/>
  <c r="K117" i="1" s="1"/>
  <c r="J39" i="1"/>
  <c r="I39" i="1"/>
  <c r="H39" i="1"/>
  <c r="G39" i="1"/>
  <c r="F39" i="1"/>
  <c r="E39" i="1"/>
  <c r="D39" i="1"/>
  <c r="C39" i="1"/>
  <c r="C117" i="1" s="1"/>
  <c r="N38" i="1"/>
  <c r="M38" i="1"/>
  <c r="L38" i="1"/>
  <c r="K38" i="1"/>
  <c r="K116" i="1" s="1"/>
  <c r="J38" i="1"/>
  <c r="I38" i="1"/>
  <c r="H38" i="1"/>
  <c r="H116" i="1" s="1"/>
  <c r="G38" i="1"/>
  <c r="G116" i="1" s="1"/>
  <c r="F38" i="1"/>
  <c r="E38" i="1"/>
  <c r="D38" i="1"/>
  <c r="D116" i="1" s="1"/>
  <c r="C38" i="1"/>
  <c r="C116" i="1" s="1"/>
  <c r="N37" i="1"/>
  <c r="M37" i="1"/>
  <c r="L37" i="1"/>
  <c r="K37" i="1"/>
  <c r="J37" i="1"/>
  <c r="I37" i="1"/>
  <c r="I115" i="1" s="1"/>
  <c r="H37" i="1"/>
  <c r="H115" i="1" s="1"/>
  <c r="G37" i="1"/>
  <c r="F37" i="1"/>
  <c r="E37" i="1"/>
  <c r="D37" i="1"/>
  <c r="C37" i="1"/>
  <c r="N36" i="1"/>
  <c r="M36" i="1"/>
  <c r="L36" i="1"/>
  <c r="K36" i="1"/>
  <c r="J36" i="1"/>
  <c r="I36" i="1"/>
  <c r="I114" i="1" s="1"/>
  <c r="H36" i="1"/>
  <c r="G36" i="1"/>
  <c r="F36" i="1"/>
  <c r="E36" i="1"/>
  <c r="D36" i="1"/>
  <c r="C36" i="1"/>
  <c r="N35" i="1"/>
  <c r="M35" i="1"/>
  <c r="L35" i="1"/>
  <c r="L113" i="1" s="1"/>
  <c r="K35" i="1"/>
  <c r="K113" i="1" s="1"/>
  <c r="J35" i="1"/>
  <c r="I35" i="1"/>
  <c r="H35" i="1"/>
  <c r="G35" i="1"/>
  <c r="G113" i="1" s="1"/>
  <c r="F35" i="1"/>
  <c r="E35" i="1"/>
  <c r="D35" i="1"/>
  <c r="C35" i="1"/>
  <c r="C113" i="1" s="1"/>
  <c r="N34" i="1"/>
  <c r="M34" i="1"/>
  <c r="L34" i="1"/>
  <c r="L112" i="1" s="1"/>
  <c r="K34" i="1"/>
  <c r="K112" i="1" s="1"/>
  <c r="J34" i="1"/>
  <c r="I34" i="1"/>
  <c r="H34" i="1"/>
  <c r="G34" i="1"/>
  <c r="G112" i="1" s="1"/>
  <c r="F34" i="1"/>
  <c r="E34" i="1"/>
  <c r="D34" i="1"/>
  <c r="D112" i="1" s="1"/>
  <c r="C34" i="1"/>
  <c r="C112" i="1" s="1"/>
  <c r="N33" i="1"/>
  <c r="M33" i="1"/>
  <c r="L33" i="1"/>
  <c r="L111" i="1" s="1"/>
  <c r="K33" i="1"/>
  <c r="J33" i="1"/>
  <c r="I33" i="1"/>
  <c r="H33" i="1"/>
  <c r="G33" i="1"/>
  <c r="F33" i="1"/>
  <c r="E33" i="1"/>
  <c r="E111" i="1" s="1"/>
  <c r="D33" i="1"/>
  <c r="D111" i="1" s="1"/>
  <c r="C33" i="1"/>
  <c r="N32" i="1"/>
  <c r="M32" i="1"/>
  <c r="L32" i="1"/>
  <c r="K32" i="1"/>
  <c r="J32" i="1"/>
  <c r="I32" i="1"/>
  <c r="H32" i="1"/>
  <c r="G32" i="1"/>
  <c r="F32" i="1"/>
  <c r="E32" i="1"/>
  <c r="D32" i="1"/>
  <c r="C32" i="1"/>
  <c r="C110" i="1" s="1"/>
  <c r="N31" i="1"/>
  <c r="M31" i="1"/>
  <c r="L31" i="1"/>
  <c r="K31" i="1"/>
  <c r="J31" i="1"/>
  <c r="I31" i="1"/>
  <c r="H31" i="1"/>
  <c r="G31" i="1"/>
  <c r="G109" i="1" s="1"/>
  <c r="F31" i="1"/>
  <c r="E31" i="1"/>
  <c r="D31" i="1"/>
  <c r="C31" i="1"/>
  <c r="N30" i="1"/>
  <c r="M30" i="1"/>
  <c r="L30" i="1"/>
  <c r="K30" i="1"/>
  <c r="J30" i="1"/>
  <c r="I30" i="1"/>
  <c r="H30" i="1"/>
  <c r="H108" i="1" s="1"/>
  <c r="G30" i="1"/>
  <c r="G108" i="1" s="1"/>
  <c r="F30" i="1"/>
  <c r="E30" i="1"/>
  <c r="D30" i="1"/>
  <c r="C30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B104" i="1"/>
  <c r="N103" i="1"/>
  <c r="M103" i="1"/>
  <c r="M129" i="1" s="1"/>
  <c r="L103" i="1"/>
  <c r="L129" i="1" s="1"/>
  <c r="K103" i="1"/>
  <c r="J103" i="1"/>
  <c r="I103" i="1"/>
  <c r="I129" i="1" s="1"/>
  <c r="H103" i="1"/>
  <c r="H129" i="1" s="1"/>
  <c r="G103" i="1"/>
  <c r="F103" i="1"/>
  <c r="E103" i="1"/>
  <c r="E129" i="1" s="1"/>
  <c r="D103" i="1"/>
  <c r="D129" i="1" s="1"/>
  <c r="C103" i="1"/>
  <c r="B103" i="1"/>
  <c r="N102" i="1"/>
  <c r="N128" i="1" s="1"/>
  <c r="M102" i="1"/>
  <c r="M128" i="1" s="1"/>
  <c r="L102" i="1"/>
  <c r="K102" i="1"/>
  <c r="J102" i="1"/>
  <c r="J128" i="1" s="1"/>
  <c r="I102" i="1"/>
  <c r="I128" i="1" s="1"/>
  <c r="H102" i="1"/>
  <c r="G102" i="1"/>
  <c r="F102" i="1"/>
  <c r="F128" i="1" s="1"/>
  <c r="E102" i="1"/>
  <c r="E128" i="1" s="1"/>
  <c r="D102" i="1"/>
  <c r="C102" i="1"/>
  <c r="B102" i="1"/>
  <c r="B128" i="1" s="1"/>
  <c r="N101" i="1"/>
  <c r="N127" i="1" s="1"/>
  <c r="M101" i="1"/>
  <c r="L101" i="1"/>
  <c r="K101" i="1"/>
  <c r="J101" i="1"/>
  <c r="J127" i="1" s="1"/>
  <c r="I101" i="1"/>
  <c r="H101" i="1"/>
  <c r="G101" i="1"/>
  <c r="F101" i="1"/>
  <c r="F127" i="1" s="1"/>
  <c r="E101" i="1"/>
  <c r="D101" i="1"/>
  <c r="C101" i="1"/>
  <c r="B101" i="1"/>
  <c r="B127" i="1" s="1"/>
  <c r="N100" i="1"/>
  <c r="M100" i="1"/>
  <c r="L100" i="1"/>
  <c r="L126" i="1" s="1"/>
  <c r="K100" i="1"/>
  <c r="K126" i="1" s="1"/>
  <c r="J100" i="1"/>
  <c r="I100" i="1"/>
  <c r="H100" i="1"/>
  <c r="H126" i="1" s="1"/>
  <c r="G100" i="1"/>
  <c r="G126" i="1" s="1"/>
  <c r="F100" i="1"/>
  <c r="E100" i="1"/>
  <c r="D100" i="1"/>
  <c r="D126" i="1" s="1"/>
  <c r="C100" i="1"/>
  <c r="C126" i="1" s="1"/>
  <c r="B100" i="1"/>
  <c r="N99" i="1"/>
  <c r="M99" i="1"/>
  <c r="M125" i="1" s="1"/>
  <c r="L99" i="1"/>
  <c r="L125" i="1" s="1"/>
  <c r="K99" i="1"/>
  <c r="J99" i="1"/>
  <c r="I99" i="1"/>
  <c r="I125" i="1" s="1"/>
  <c r="H99" i="1"/>
  <c r="H125" i="1" s="1"/>
  <c r="G99" i="1"/>
  <c r="F99" i="1"/>
  <c r="E99" i="1"/>
  <c r="E125" i="1" s="1"/>
  <c r="D99" i="1"/>
  <c r="D125" i="1" s="1"/>
  <c r="C99" i="1"/>
  <c r="B99" i="1"/>
  <c r="N98" i="1"/>
  <c r="N124" i="1" s="1"/>
  <c r="M98" i="1"/>
  <c r="L98" i="1"/>
  <c r="K98" i="1"/>
  <c r="J98" i="1"/>
  <c r="J124" i="1" s="1"/>
  <c r="I98" i="1"/>
  <c r="I124" i="1" s="1"/>
  <c r="H98" i="1"/>
  <c r="G98" i="1"/>
  <c r="F98" i="1"/>
  <c r="F124" i="1" s="1"/>
  <c r="E98" i="1"/>
  <c r="E124" i="1" s="1"/>
  <c r="D98" i="1"/>
  <c r="C98" i="1"/>
  <c r="B98" i="1"/>
  <c r="B124" i="1" s="1"/>
  <c r="N97" i="1"/>
  <c r="N123" i="1" s="1"/>
  <c r="M97" i="1"/>
  <c r="L97" i="1"/>
  <c r="K97" i="1"/>
  <c r="J97" i="1"/>
  <c r="I97" i="1"/>
  <c r="H97" i="1"/>
  <c r="G97" i="1"/>
  <c r="F97" i="1"/>
  <c r="F123" i="1" s="1"/>
  <c r="E97" i="1"/>
  <c r="D97" i="1"/>
  <c r="C97" i="1"/>
  <c r="B97" i="1"/>
  <c r="B123" i="1" s="1"/>
  <c r="N96" i="1"/>
  <c r="M96" i="1"/>
  <c r="L96" i="1"/>
  <c r="L122" i="1" s="1"/>
  <c r="K96" i="1"/>
  <c r="K122" i="1" s="1"/>
  <c r="J96" i="1"/>
  <c r="I96" i="1"/>
  <c r="H96" i="1"/>
  <c r="H122" i="1" s="1"/>
  <c r="G96" i="1"/>
  <c r="F96" i="1"/>
  <c r="E96" i="1"/>
  <c r="D96" i="1"/>
  <c r="D122" i="1" s="1"/>
  <c r="C96" i="1"/>
  <c r="C122" i="1" s="1"/>
  <c r="B96" i="1"/>
  <c r="N95" i="1"/>
  <c r="M95" i="1"/>
  <c r="M121" i="1" s="1"/>
  <c r="L95" i="1"/>
  <c r="L121" i="1" s="1"/>
  <c r="K95" i="1"/>
  <c r="J95" i="1"/>
  <c r="I95" i="1"/>
  <c r="I121" i="1" s="1"/>
  <c r="H95" i="1"/>
  <c r="H121" i="1" s="1"/>
  <c r="G95" i="1"/>
  <c r="F95" i="1"/>
  <c r="E95" i="1"/>
  <c r="E121" i="1" s="1"/>
  <c r="D95" i="1"/>
  <c r="C95" i="1"/>
  <c r="B95" i="1"/>
  <c r="N94" i="1"/>
  <c r="N120" i="1" s="1"/>
  <c r="M94" i="1"/>
  <c r="M120" i="1" s="1"/>
  <c r="L94" i="1"/>
  <c r="K94" i="1"/>
  <c r="J94" i="1"/>
  <c r="J120" i="1" s="1"/>
  <c r="I94" i="1"/>
  <c r="I120" i="1" s="1"/>
  <c r="H94" i="1"/>
  <c r="G94" i="1"/>
  <c r="F94" i="1"/>
  <c r="F120" i="1" s="1"/>
  <c r="E94" i="1"/>
  <c r="E120" i="1" s="1"/>
  <c r="D94" i="1"/>
  <c r="C94" i="1"/>
  <c r="B94" i="1"/>
  <c r="B120" i="1" s="1"/>
  <c r="N93" i="1"/>
  <c r="M93" i="1"/>
  <c r="L93" i="1"/>
  <c r="K93" i="1"/>
  <c r="J93" i="1"/>
  <c r="J119" i="1" s="1"/>
  <c r="I93" i="1"/>
  <c r="H93" i="1"/>
  <c r="G93" i="1"/>
  <c r="F93" i="1"/>
  <c r="F119" i="1" s="1"/>
  <c r="E93" i="1"/>
  <c r="D93" i="1"/>
  <c r="C93" i="1"/>
  <c r="B93" i="1"/>
  <c r="B119" i="1" s="1"/>
  <c r="N92" i="1"/>
  <c r="M92" i="1"/>
  <c r="L92" i="1"/>
  <c r="L118" i="1" s="1"/>
  <c r="K92" i="1"/>
  <c r="J92" i="1"/>
  <c r="I92" i="1"/>
  <c r="H92" i="1"/>
  <c r="H118" i="1" s="1"/>
  <c r="G92" i="1"/>
  <c r="G118" i="1" s="1"/>
  <c r="F92" i="1"/>
  <c r="E92" i="1"/>
  <c r="D92" i="1"/>
  <c r="D118" i="1" s="1"/>
  <c r="C92" i="1"/>
  <c r="C118" i="1" s="1"/>
  <c r="B92" i="1"/>
  <c r="N91" i="1"/>
  <c r="M91" i="1"/>
  <c r="M117" i="1" s="1"/>
  <c r="L91" i="1"/>
  <c r="L117" i="1" s="1"/>
  <c r="K91" i="1"/>
  <c r="J91" i="1"/>
  <c r="I91" i="1"/>
  <c r="I117" i="1" s="1"/>
  <c r="H91" i="1"/>
  <c r="G91" i="1"/>
  <c r="F91" i="1"/>
  <c r="E91" i="1"/>
  <c r="E117" i="1" s="1"/>
  <c r="D91" i="1"/>
  <c r="D117" i="1" s="1"/>
  <c r="C91" i="1"/>
  <c r="B91" i="1"/>
  <c r="N90" i="1"/>
  <c r="N116" i="1" s="1"/>
  <c r="M90" i="1"/>
  <c r="M116" i="1" s="1"/>
  <c r="L90" i="1"/>
  <c r="K90" i="1"/>
  <c r="J90" i="1"/>
  <c r="J116" i="1" s="1"/>
  <c r="I90" i="1"/>
  <c r="I116" i="1" s="1"/>
  <c r="H90" i="1"/>
  <c r="G90" i="1"/>
  <c r="F90" i="1"/>
  <c r="F116" i="1" s="1"/>
  <c r="E90" i="1"/>
  <c r="D90" i="1"/>
  <c r="C90" i="1"/>
  <c r="B90" i="1"/>
  <c r="B116" i="1" s="1"/>
  <c r="N89" i="1"/>
  <c r="N115" i="1" s="1"/>
  <c r="M89" i="1"/>
  <c r="L89" i="1"/>
  <c r="K89" i="1"/>
  <c r="J89" i="1"/>
  <c r="J115" i="1" s="1"/>
  <c r="I89" i="1"/>
  <c r="H89" i="1"/>
  <c r="G89" i="1"/>
  <c r="F89" i="1"/>
  <c r="F115" i="1" s="1"/>
  <c r="E89" i="1"/>
  <c r="D89" i="1"/>
  <c r="C89" i="1"/>
  <c r="B89" i="1"/>
  <c r="N88" i="1"/>
  <c r="M88" i="1"/>
  <c r="L88" i="1"/>
  <c r="L114" i="1" s="1"/>
  <c r="K88" i="1"/>
  <c r="K114" i="1" s="1"/>
  <c r="J88" i="1"/>
  <c r="I88" i="1"/>
  <c r="H88" i="1"/>
  <c r="H114" i="1" s="1"/>
  <c r="G88" i="1"/>
  <c r="G114" i="1" s="1"/>
  <c r="F88" i="1"/>
  <c r="E88" i="1"/>
  <c r="D88" i="1"/>
  <c r="D114" i="1" s="1"/>
  <c r="C88" i="1"/>
  <c r="C114" i="1" s="1"/>
  <c r="B88" i="1"/>
  <c r="N87" i="1"/>
  <c r="M87" i="1"/>
  <c r="M113" i="1" s="1"/>
  <c r="L87" i="1"/>
  <c r="K87" i="1"/>
  <c r="J87" i="1"/>
  <c r="I87" i="1"/>
  <c r="I113" i="1" s="1"/>
  <c r="H87" i="1"/>
  <c r="H113" i="1" s="1"/>
  <c r="G87" i="1"/>
  <c r="F87" i="1"/>
  <c r="E87" i="1"/>
  <c r="E113" i="1" s="1"/>
  <c r="D87" i="1"/>
  <c r="D113" i="1" s="1"/>
  <c r="C87" i="1"/>
  <c r="B87" i="1"/>
  <c r="N86" i="1"/>
  <c r="N112" i="1" s="1"/>
  <c r="M86" i="1"/>
  <c r="M112" i="1" s="1"/>
  <c r="L86" i="1"/>
  <c r="K86" i="1"/>
  <c r="J86" i="1"/>
  <c r="J112" i="1" s="1"/>
  <c r="I86" i="1"/>
  <c r="H86" i="1"/>
  <c r="G86" i="1"/>
  <c r="F86" i="1"/>
  <c r="F112" i="1" s="1"/>
  <c r="E86" i="1"/>
  <c r="E112" i="1" s="1"/>
  <c r="D86" i="1"/>
  <c r="C86" i="1"/>
  <c r="B86" i="1"/>
  <c r="B112" i="1" s="1"/>
  <c r="N85" i="1"/>
  <c r="N111" i="1" s="1"/>
  <c r="M85" i="1"/>
  <c r="L85" i="1"/>
  <c r="K85" i="1"/>
  <c r="J85" i="1"/>
  <c r="J111" i="1" s="1"/>
  <c r="I85" i="1"/>
  <c r="H85" i="1"/>
  <c r="G85" i="1"/>
  <c r="F85" i="1"/>
  <c r="E85" i="1"/>
  <c r="D85" i="1"/>
  <c r="C85" i="1"/>
  <c r="B85" i="1"/>
  <c r="B111" i="1" s="1"/>
  <c r="N84" i="1"/>
  <c r="M84" i="1"/>
  <c r="L84" i="1"/>
  <c r="L110" i="1" s="1"/>
  <c r="K84" i="1"/>
  <c r="K110" i="1" s="1"/>
  <c r="J84" i="1"/>
  <c r="I84" i="1"/>
  <c r="H84" i="1"/>
  <c r="H110" i="1" s="1"/>
  <c r="G84" i="1"/>
  <c r="G110" i="1" s="1"/>
  <c r="F84" i="1"/>
  <c r="E84" i="1"/>
  <c r="D84" i="1"/>
  <c r="D110" i="1" s="1"/>
  <c r="C84" i="1"/>
  <c r="B84" i="1"/>
  <c r="N83" i="1"/>
  <c r="M83" i="1"/>
  <c r="M109" i="1" s="1"/>
  <c r="L83" i="1"/>
  <c r="L109" i="1" s="1"/>
  <c r="K83" i="1"/>
  <c r="J83" i="1"/>
  <c r="I83" i="1"/>
  <c r="I109" i="1" s="1"/>
  <c r="H83" i="1"/>
  <c r="H109" i="1" s="1"/>
  <c r="G83" i="1"/>
  <c r="F83" i="1"/>
  <c r="E83" i="1"/>
  <c r="E109" i="1" s="1"/>
  <c r="D83" i="1"/>
  <c r="D109" i="1" s="1"/>
  <c r="C83" i="1"/>
  <c r="B83" i="1"/>
  <c r="N82" i="1"/>
  <c r="N108" i="1" s="1"/>
  <c r="M82" i="1"/>
  <c r="L82" i="1"/>
  <c r="K82" i="1"/>
  <c r="J82" i="1"/>
  <c r="J108" i="1" s="1"/>
  <c r="I82" i="1"/>
  <c r="I108" i="1" s="1"/>
  <c r="H82" i="1"/>
  <c r="G82" i="1"/>
  <c r="F82" i="1"/>
  <c r="F108" i="1" s="1"/>
  <c r="E82" i="1"/>
  <c r="E108" i="1" s="1"/>
  <c r="D82" i="1"/>
  <c r="C82" i="1"/>
  <c r="B82" i="1"/>
  <c r="B108" i="1" s="1"/>
  <c r="N129" i="1"/>
  <c r="J129" i="1"/>
  <c r="F129" i="1"/>
  <c r="B129" i="1"/>
  <c r="L128" i="1"/>
  <c r="K128" i="1"/>
  <c r="D128" i="1"/>
  <c r="C128" i="1"/>
  <c r="I127" i="1"/>
  <c r="H127" i="1"/>
  <c r="N126" i="1"/>
  <c r="M126" i="1"/>
  <c r="J126" i="1"/>
  <c r="I126" i="1"/>
  <c r="F126" i="1"/>
  <c r="E126" i="1"/>
  <c r="B126" i="1"/>
  <c r="N125" i="1"/>
  <c r="J125" i="1"/>
  <c r="F125" i="1"/>
  <c r="B125" i="1"/>
  <c r="H124" i="1"/>
  <c r="M123" i="1"/>
  <c r="J123" i="1"/>
  <c r="I123" i="1"/>
  <c r="H123" i="1"/>
  <c r="N122" i="1"/>
  <c r="M122" i="1"/>
  <c r="J122" i="1"/>
  <c r="I122" i="1"/>
  <c r="F122" i="1"/>
  <c r="B122" i="1"/>
  <c r="N121" i="1"/>
  <c r="K121" i="1"/>
  <c r="J121" i="1"/>
  <c r="F121" i="1"/>
  <c r="D121" i="1"/>
  <c r="B121" i="1"/>
  <c r="L120" i="1"/>
  <c r="K120" i="1"/>
  <c r="D120" i="1"/>
  <c r="C120" i="1"/>
  <c r="N119" i="1"/>
  <c r="M119" i="1"/>
  <c r="L119" i="1"/>
  <c r="I119" i="1"/>
  <c r="E119" i="1"/>
  <c r="D119" i="1"/>
  <c r="N118" i="1"/>
  <c r="J118" i="1"/>
  <c r="I118" i="1"/>
  <c r="F118" i="1"/>
  <c r="E118" i="1"/>
  <c r="B118" i="1"/>
  <c r="N117" i="1"/>
  <c r="J117" i="1"/>
  <c r="H117" i="1"/>
  <c r="G117" i="1"/>
  <c r="F117" i="1"/>
  <c r="B117" i="1"/>
  <c r="L116" i="1"/>
  <c r="E116" i="1"/>
  <c r="M115" i="1"/>
  <c r="L115" i="1"/>
  <c r="E115" i="1"/>
  <c r="D115" i="1"/>
  <c r="B115" i="1"/>
  <c r="N114" i="1"/>
  <c r="M114" i="1"/>
  <c r="J114" i="1"/>
  <c r="F114" i="1"/>
  <c r="E114" i="1"/>
  <c r="B114" i="1"/>
  <c r="N113" i="1"/>
  <c r="J113" i="1"/>
  <c r="F113" i="1"/>
  <c r="B113" i="1"/>
  <c r="I112" i="1"/>
  <c r="H112" i="1"/>
  <c r="M111" i="1"/>
  <c r="I111" i="1"/>
  <c r="H111" i="1"/>
  <c r="F111" i="1"/>
  <c r="N110" i="1"/>
  <c r="M110" i="1"/>
  <c r="J110" i="1"/>
  <c r="I110" i="1"/>
  <c r="F110" i="1"/>
  <c r="E110" i="1"/>
  <c r="B110" i="1"/>
  <c r="N109" i="1"/>
  <c r="K109" i="1"/>
  <c r="J109" i="1"/>
  <c r="F109" i="1"/>
  <c r="C109" i="1"/>
  <c r="B109" i="1"/>
  <c r="M108" i="1"/>
  <c r="L108" i="1"/>
  <c r="K108" i="1"/>
  <c r="D108" i="1"/>
  <c r="C108" i="1"/>
  <c r="B75" i="1"/>
  <c r="C75" i="1"/>
  <c r="D75" i="1"/>
  <c r="E75" i="1"/>
  <c r="F75" i="1"/>
  <c r="G75" i="1"/>
  <c r="H75" i="1"/>
  <c r="I75" i="1"/>
  <c r="J75" i="1"/>
  <c r="K75" i="1"/>
  <c r="L75" i="1"/>
  <c r="M75" i="1"/>
  <c r="N75" i="1"/>
  <c r="N78" i="1"/>
  <c r="M78" i="1"/>
  <c r="L78" i="1"/>
  <c r="K78" i="1"/>
  <c r="J78" i="1"/>
  <c r="I78" i="1"/>
  <c r="H78" i="1"/>
  <c r="G78" i="1"/>
  <c r="F78" i="1"/>
  <c r="E78" i="1"/>
  <c r="D78" i="1"/>
  <c r="C78" i="1"/>
  <c r="B78" i="1"/>
  <c r="B3" i="9"/>
  <c r="H144" i="1"/>
  <c r="H142" i="1"/>
  <c r="H136" i="1"/>
  <c r="K138" i="1"/>
  <c r="H149" i="1" s="1"/>
  <c r="H134" i="1"/>
  <c r="H133" i="1"/>
  <c r="B4" i="9"/>
  <c r="B2" i="9"/>
  <c r="D3" i="9"/>
  <c r="C3" i="9"/>
  <c r="E3" i="9" s="1"/>
  <c r="F3" i="9" s="1"/>
  <c r="F4" i="9" s="1"/>
  <c r="C146" i="1" s="1"/>
  <c r="D2" i="9"/>
  <c r="C2" i="9"/>
  <c r="E2" i="9" s="1"/>
  <c r="G142" i="1"/>
  <c r="G14" i="8"/>
  <c r="G10" i="8"/>
  <c r="G6" i="8"/>
  <c r="G2" i="8"/>
  <c r="F13" i="8"/>
  <c r="F12" i="8"/>
  <c r="F11" i="8"/>
  <c r="F10" i="8"/>
  <c r="F9" i="8"/>
  <c r="F8" i="8"/>
  <c r="F7" i="8"/>
  <c r="F6" i="8"/>
  <c r="F5" i="8"/>
  <c r="F4" i="8"/>
  <c r="F3" i="8"/>
  <c r="F2" i="8"/>
  <c r="E13" i="8"/>
  <c r="E12" i="8"/>
  <c r="E11" i="8"/>
  <c r="E10" i="8"/>
  <c r="E9" i="8"/>
  <c r="E8" i="8"/>
  <c r="E7" i="8"/>
  <c r="E6" i="8"/>
  <c r="E5" i="8"/>
  <c r="E4" i="8"/>
  <c r="E3" i="8"/>
  <c r="E2" i="8"/>
  <c r="D13" i="8"/>
  <c r="D12" i="8"/>
  <c r="D11" i="8"/>
  <c r="D10" i="8"/>
  <c r="D9" i="8"/>
  <c r="D8" i="8"/>
  <c r="D7" i="8"/>
  <c r="D6" i="8"/>
  <c r="D5" i="8"/>
  <c r="D4" i="8"/>
  <c r="D3" i="8"/>
  <c r="D2" i="8"/>
  <c r="B14" i="8"/>
  <c r="C13" i="8"/>
  <c r="G13" i="8" s="1"/>
  <c r="C12" i="8"/>
  <c r="G12" i="8" s="1"/>
  <c r="C11" i="8"/>
  <c r="G11" i="8" s="1"/>
  <c r="C10" i="8"/>
  <c r="C9" i="8"/>
  <c r="G9" i="8" s="1"/>
  <c r="C8" i="8"/>
  <c r="G8" i="8" s="1"/>
  <c r="C7" i="8"/>
  <c r="G7" i="8" s="1"/>
  <c r="C6" i="8"/>
  <c r="C5" i="8"/>
  <c r="G5" i="8" s="1"/>
  <c r="C4" i="8"/>
  <c r="G4" i="8" s="1"/>
  <c r="C3" i="8"/>
  <c r="G3" i="8" s="1"/>
  <c r="C2" i="8"/>
  <c r="G134" i="1"/>
  <c r="G133" i="1"/>
  <c r="D153" i="1"/>
  <c r="D156" i="1"/>
  <c r="C143" i="1"/>
  <c r="G143" i="1" s="1"/>
  <c r="H143" i="1" s="1"/>
  <c r="C142" i="1"/>
  <c r="C133" i="1"/>
  <c r="F33" i="7"/>
  <c r="F34" i="7" s="1"/>
  <c r="F32" i="7"/>
  <c r="F31" i="7"/>
  <c r="B31" i="7"/>
  <c r="C139" i="1"/>
  <c r="G139" i="1" s="1"/>
  <c r="H139" i="1" s="1"/>
  <c r="C138" i="1"/>
  <c r="G138" i="1" s="1"/>
  <c r="H138" i="1" s="1"/>
  <c r="F28" i="7"/>
  <c r="B28" i="7"/>
  <c r="B23" i="7"/>
  <c r="B22" i="7"/>
  <c r="B21" i="7"/>
  <c r="B20" i="7"/>
  <c r="B19" i="7"/>
  <c r="D7" i="7"/>
  <c r="C7" i="7"/>
  <c r="E7" i="7" s="1"/>
  <c r="F7" i="7" s="1"/>
  <c r="D23" i="7"/>
  <c r="C23" i="7"/>
  <c r="E23" i="7" s="1"/>
  <c r="D22" i="7"/>
  <c r="C22" i="7"/>
  <c r="D21" i="7"/>
  <c r="C21" i="7"/>
  <c r="E21" i="7" s="1"/>
  <c r="D20" i="7"/>
  <c r="C20" i="7"/>
  <c r="E20" i="7" s="1"/>
  <c r="D19" i="7"/>
  <c r="C19" i="7"/>
  <c r="C15" i="7"/>
  <c r="E15" i="7" s="1"/>
  <c r="C14" i="7"/>
  <c r="E14" i="7" s="1"/>
  <c r="C13" i="7"/>
  <c r="C12" i="7"/>
  <c r="C11" i="7"/>
  <c r="C6" i="7"/>
  <c r="C5" i="7"/>
  <c r="C4" i="7"/>
  <c r="C3" i="7"/>
  <c r="C2" i="7"/>
  <c r="D15" i="7"/>
  <c r="B15" i="7"/>
  <c r="D14" i="7"/>
  <c r="B14" i="7"/>
  <c r="D13" i="7"/>
  <c r="B13" i="7"/>
  <c r="D12" i="7"/>
  <c r="B12" i="7"/>
  <c r="B16" i="7" s="1"/>
  <c r="D11" i="7"/>
  <c r="B11" i="7"/>
  <c r="D6" i="7"/>
  <c r="D5" i="7"/>
  <c r="E5" i="7" s="1"/>
  <c r="F5" i="7" s="1"/>
  <c r="D4" i="7"/>
  <c r="D3" i="7"/>
  <c r="D2" i="7"/>
  <c r="B2" i="7"/>
  <c r="B8" i="7" s="1"/>
  <c r="C141" i="1"/>
  <c r="G141" i="1" s="1"/>
  <c r="H141" i="1" s="1"/>
  <c r="C140" i="1"/>
  <c r="G140" i="1" s="1"/>
  <c r="H140" i="1" s="1"/>
  <c r="C135" i="1"/>
  <c r="G135" i="1" s="1"/>
  <c r="H135" i="1" s="1"/>
  <c r="C134" i="1"/>
  <c r="N77" i="1"/>
  <c r="M77" i="1"/>
  <c r="L77" i="1"/>
  <c r="K77" i="1"/>
  <c r="J77" i="1"/>
  <c r="I77" i="1"/>
  <c r="H77" i="1"/>
  <c r="G77" i="1"/>
  <c r="F77" i="1"/>
  <c r="E77" i="1"/>
  <c r="D77" i="1"/>
  <c r="C77" i="1"/>
  <c r="N76" i="1"/>
  <c r="M76" i="1"/>
  <c r="L76" i="1"/>
  <c r="K76" i="1"/>
  <c r="J76" i="1"/>
  <c r="I76" i="1"/>
  <c r="H76" i="1"/>
  <c r="G76" i="1"/>
  <c r="F76" i="1"/>
  <c r="E76" i="1"/>
  <c r="D76" i="1"/>
  <c r="C76" i="1"/>
  <c r="N74" i="1"/>
  <c r="M74" i="1"/>
  <c r="L74" i="1"/>
  <c r="K74" i="1"/>
  <c r="J74" i="1"/>
  <c r="I74" i="1"/>
  <c r="H74" i="1"/>
  <c r="G74" i="1"/>
  <c r="F74" i="1"/>
  <c r="E74" i="1"/>
  <c r="D74" i="1"/>
  <c r="C74" i="1"/>
  <c r="N73" i="1"/>
  <c r="M73" i="1"/>
  <c r="L73" i="1"/>
  <c r="K73" i="1"/>
  <c r="J73" i="1"/>
  <c r="I73" i="1"/>
  <c r="H73" i="1"/>
  <c r="G73" i="1"/>
  <c r="F73" i="1"/>
  <c r="E73" i="1"/>
  <c r="D73" i="1"/>
  <c r="C73" i="1"/>
  <c r="N72" i="1"/>
  <c r="M72" i="1"/>
  <c r="L72" i="1"/>
  <c r="K72" i="1"/>
  <c r="J72" i="1"/>
  <c r="I72" i="1"/>
  <c r="H72" i="1"/>
  <c r="G72" i="1"/>
  <c r="F72" i="1"/>
  <c r="E72" i="1"/>
  <c r="D72" i="1"/>
  <c r="C72" i="1"/>
  <c r="N71" i="1"/>
  <c r="M71" i="1"/>
  <c r="L71" i="1"/>
  <c r="K71" i="1"/>
  <c r="J71" i="1"/>
  <c r="I71" i="1"/>
  <c r="H71" i="1"/>
  <c r="G71" i="1"/>
  <c r="F71" i="1"/>
  <c r="E71" i="1"/>
  <c r="D71" i="1"/>
  <c r="C71" i="1"/>
  <c r="N70" i="1"/>
  <c r="M70" i="1"/>
  <c r="L70" i="1"/>
  <c r="K70" i="1"/>
  <c r="J70" i="1"/>
  <c r="I70" i="1"/>
  <c r="H70" i="1"/>
  <c r="G70" i="1"/>
  <c r="F70" i="1"/>
  <c r="E70" i="1"/>
  <c r="D70" i="1"/>
  <c r="C70" i="1"/>
  <c r="N69" i="1"/>
  <c r="M69" i="1"/>
  <c r="L69" i="1"/>
  <c r="K69" i="1"/>
  <c r="J69" i="1"/>
  <c r="I69" i="1"/>
  <c r="H69" i="1"/>
  <c r="G69" i="1"/>
  <c r="F69" i="1"/>
  <c r="E69" i="1"/>
  <c r="D69" i="1"/>
  <c r="C69" i="1"/>
  <c r="N68" i="1"/>
  <c r="M68" i="1"/>
  <c r="L68" i="1"/>
  <c r="K68" i="1"/>
  <c r="J68" i="1"/>
  <c r="I68" i="1"/>
  <c r="H68" i="1"/>
  <c r="G68" i="1"/>
  <c r="F68" i="1"/>
  <c r="E68" i="1"/>
  <c r="D68" i="1"/>
  <c r="C68" i="1"/>
  <c r="N67" i="1"/>
  <c r="M67" i="1"/>
  <c r="L67" i="1"/>
  <c r="K67" i="1"/>
  <c r="J67" i="1"/>
  <c r="I67" i="1"/>
  <c r="H67" i="1"/>
  <c r="G67" i="1"/>
  <c r="F67" i="1"/>
  <c r="E67" i="1"/>
  <c r="D67" i="1"/>
  <c r="C67" i="1"/>
  <c r="N66" i="1"/>
  <c r="M66" i="1"/>
  <c r="L66" i="1"/>
  <c r="K66" i="1"/>
  <c r="J66" i="1"/>
  <c r="I66" i="1"/>
  <c r="H66" i="1"/>
  <c r="G66" i="1"/>
  <c r="F66" i="1"/>
  <c r="E66" i="1"/>
  <c r="D66" i="1"/>
  <c r="C66" i="1"/>
  <c r="N65" i="1"/>
  <c r="M65" i="1"/>
  <c r="L65" i="1"/>
  <c r="K65" i="1"/>
  <c r="J65" i="1"/>
  <c r="I65" i="1"/>
  <c r="H65" i="1"/>
  <c r="G65" i="1"/>
  <c r="F65" i="1"/>
  <c r="E65" i="1"/>
  <c r="D65" i="1"/>
  <c r="C65" i="1"/>
  <c r="N64" i="1"/>
  <c r="M64" i="1"/>
  <c r="L64" i="1"/>
  <c r="K64" i="1"/>
  <c r="J64" i="1"/>
  <c r="I64" i="1"/>
  <c r="H64" i="1"/>
  <c r="G64" i="1"/>
  <c r="F64" i="1"/>
  <c r="E64" i="1"/>
  <c r="D64" i="1"/>
  <c r="C64" i="1"/>
  <c r="N63" i="1"/>
  <c r="M63" i="1"/>
  <c r="L63" i="1"/>
  <c r="K63" i="1"/>
  <c r="J63" i="1"/>
  <c r="I63" i="1"/>
  <c r="H63" i="1"/>
  <c r="G63" i="1"/>
  <c r="F63" i="1"/>
  <c r="E63" i="1"/>
  <c r="D63" i="1"/>
  <c r="C63" i="1"/>
  <c r="N62" i="1"/>
  <c r="M62" i="1"/>
  <c r="L62" i="1"/>
  <c r="K62" i="1"/>
  <c r="J62" i="1"/>
  <c r="I62" i="1"/>
  <c r="H62" i="1"/>
  <c r="G62" i="1"/>
  <c r="F62" i="1"/>
  <c r="E62" i="1"/>
  <c r="D62" i="1"/>
  <c r="C62" i="1"/>
  <c r="N61" i="1"/>
  <c r="M61" i="1"/>
  <c r="L61" i="1"/>
  <c r="K61" i="1"/>
  <c r="J61" i="1"/>
  <c r="I61" i="1"/>
  <c r="H61" i="1"/>
  <c r="G61" i="1"/>
  <c r="F61" i="1"/>
  <c r="E61" i="1"/>
  <c r="D61" i="1"/>
  <c r="C61" i="1"/>
  <c r="N60" i="1"/>
  <c r="M60" i="1"/>
  <c r="L60" i="1"/>
  <c r="K60" i="1"/>
  <c r="J60" i="1"/>
  <c r="I60" i="1"/>
  <c r="H60" i="1"/>
  <c r="G60" i="1"/>
  <c r="F60" i="1"/>
  <c r="E60" i="1"/>
  <c r="D60" i="1"/>
  <c r="C60" i="1"/>
  <c r="N59" i="1"/>
  <c r="M59" i="1"/>
  <c r="L59" i="1"/>
  <c r="K59" i="1"/>
  <c r="J59" i="1"/>
  <c r="I59" i="1"/>
  <c r="H59" i="1"/>
  <c r="G59" i="1"/>
  <c r="F59" i="1"/>
  <c r="E59" i="1"/>
  <c r="D59" i="1"/>
  <c r="C59" i="1"/>
  <c r="N58" i="1"/>
  <c r="M58" i="1"/>
  <c r="L58" i="1"/>
  <c r="K58" i="1"/>
  <c r="J58" i="1"/>
  <c r="I58" i="1"/>
  <c r="H58" i="1"/>
  <c r="G58" i="1"/>
  <c r="F58" i="1"/>
  <c r="E58" i="1"/>
  <c r="D58" i="1"/>
  <c r="C58" i="1"/>
  <c r="N57" i="1"/>
  <c r="M57" i="1"/>
  <c r="L57" i="1"/>
  <c r="K57" i="1"/>
  <c r="J57" i="1"/>
  <c r="I57" i="1"/>
  <c r="H57" i="1"/>
  <c r="G57" i="1"/>
  <c r="F57" i="1"/>
  <c r="E57" i="1"/>
  <c r="D57" i="1"/>
  <c r="C57" i="1"/>
  <c r="N56" i="1"/>
  <c r="M56" i="1"/>
  <c r="L56" i="1"/>
  <c r="K56" i="1"/>
  <c r="J56" i="1"/>
  <c r="I56" i="1"/>
  <c r="H56" i="1"/>
  <c r="G56" i="1"/>
  <c r="F56" i="1"/>
  <c r="E56" i="1"/>
  <c r="D56" i="1"/>
  <c r="C56" i="1"/>
  <c r="N55" i="1"/>
  <c r="M55" i="1"/>
  <c r="L55" i="1"/>
  <c r="K55" i="1"/>
  <c r="J55" i="1"/>
  <c r="I55" i="1"/>
  <c r="H55" i="1"/>
  <c r="G55" i="1"/>
  <c r="F55" i="1"/>
  <c r="E55" i="1"/>
  <c r="D55" i="1"/>
  <c r="C55" i="1"/>
  <c r="B77" i="1"/>
  <c r="B76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N29" i="1"/>
  <c r="M29" i="1"/>
  <c r="L29" i="1"/>
  <c r="K29" i="1"/>
  <c r="J29" i="1"/>
  <c r="I29" i="1"/>
  <c r="H29" i="1"/>
  <c r="G29" i="1"/>
  <c r="F29" i="1"/>
  <c r="E29" i="1"/>
  <c r="D29" i="1"/>
  <c r="C29" i="1"/>
  <c r="H17" i="6"/>
  <c r="H16" i="6"/>
  <c r="G10" i="6"/>
  <c r="H10" i="6" s="1"/>
  <c r="F10" i="6"/>
  <c r="E10" i="6"/>
  <c r="H6" i="6"/>
  <c r="H3" i="6"/>
  <c r="F3" i="6"/>
  <c r="G3" i="6" s="1"/>
  <c r="E3" i="6"/>
  <c r="H12" i="6"/>
  <c r="H23" i="6"/>
  <c r="B23" i="6"/>
  <c r="H22" i="6"/>
  <c r="B22" i="6"/>
  <c r="H21" i="6"/>
  <c r="H20" i="6"/>
  <c r="F11" i="6"/>
  <c r="E11" i="6"/>
  <c r="F9" i="6"/>
  <c r="E9" i="6"/>
  <c r="G9" i="6" s="1"/>
  <c r="H9" i="6" s="1"/>
  <c r="H8" i="6"/>
  <c r="H7" i="6"/>
  <c r="B21" i="6"/>
  <c r="B20" i="6"/>
  <c r="G5" i="6"/>
  <c r="H5" i="6" s="1"/>
  <c r="F15" i="6"/>
  <c r="F13" i="6"/>
  <c r="F5" i="6"/>
  <c r="F4" i="6"/>
  <c r="F2" i="6"/>
  <c r="E15" i="6"/>
  <c r="G15" i="6" s="1"/>
  <c r="H15" i="6" s="1"/>
  <c r="E13" i="6"/>
  <c r="G13" i="6" s="1"/>
  <c r="H13" i="6" s="1"/>
  <c r="E5" i="6"/>
  <c r="E4" i="6"/>
  <c r="G4" i="6" s="1"/>
  <c r="H4" i="6" s="1"/>
  <c r="E2" i="6"/>
  <c r="G2" i="6" s="1"/>
  <c r="H2" i="6" s="1"/>
  <c r="B17" i="6"/>
  <c r="B13" i="6"/>
  <c r="B14" i="4"/>
  <c r="B13" i="4"/>
  <c r="B12" i="4"/>
  <c r="B11" i="4"/>
  <c r="B15" i="4" s="1"/>
  <c r="B17" i="4" s="1"/>
  <c r="B10" i="4"/>
  <c r="D14" i="4"/>
  <c r="C14" i="4"/>
  <c r="D13" i="4"/>
  <c r="C13" i="4"/>
  <c r="D12" i="4"/>
  <c r="C12" i="4"/>
  <c r="D11" i="4"/>
  <c r="C11" i="4"/>
  <c r="D10" i="4"/>
  <c r="C10" i="4"/>
  <c r="B2" i="4"/>
  <c r="B7" i="4" s="1"/>
  <c r="C2" i="4"/>
  <c r="D2" i="4"/>
  <c r="E2" i="4"/>
  <c r="F2" i="4" s="1"/>
  <c r="C3" i="4"/>
  <c r="D3" i="4"/>
  <c r="E3" i="4"/>
  <c r="F3" i="4" s="1"/>
  <c r="C4" i="4"/>
  <c r="D4" i="4"/>
  <c r="E4" i="4"/>
  <c r="F4" i="4" s="1"/>
  <c r="C5" i="4"/>
  <c r="D5" i="4"/>
  <c r="E5" i="4"/>
  <c r="F5" i="4" s="1"/>
  <c r="C6" i="4"/>
  <c r="D6" i="4"/>
  <c r="E6" i="4"/>
  <c r="F6" i="4" s="1"/>
  <c r="E171" i="1" l="1"/>
  <c r="F169" i="1"/>
  <c r="F171" i="1" s="1"/>
  <c r="C111" i="1"/>
  <c r="G111" i="1"/>
  <c r="K111" i="1"/>
  <c r="C115" i="1"/>
  <c r="G115" i="1"/>
  <c r="K115" i="1"/>
  <c r="C119" i="1"/>
  <c r="G119" i="1"/>
  <c r="K119" i="1"/>
  <c r="C123" i="1"/>
  <c r="G123" i="1"/>
  <c r="K123" i="1"/>
  <c r="C127" i="1"/>
  <c r="G127" i="1"/>
  <c r="K127" i="1"/>
  <c r="F2" i="9"/>
  <c r="C14" i="8"/>
  <c r="E81" i="1"/>
  <c r="E107" i="1" s="1"/>
  <c r="M81" i="1"/>
  <c r="M107" i="1" s="1"/>
  <c r="G81" i="1"/>
  <c r="G107" i="1" s="1"/>
  <c r="N81" i="1"/>
  <c r="N107" i="1" s="1"/>
  <c r="J81" i="1"/>
  <c r="J107" i="1" s="1"/>
  <c r="F81" i="1"/>
  <c r="F107" i="1" s="1"/>
  <c r="B81" i="1"/>
  <c r="B107" i="1" s="1"/>
  <c r="L81" i="1"/>
  <c r="L107" i="1" s="1"/>
  <c r="H81" i="1"/>
  <c r="H107" i="1" s="1"/>
  <c r="D81" i="1"/>
  <c r="D107" i="1" s="1"/>
  <c r="I81" i="1"/>
  <c r="I107" i="1" s="1"/>
  <c r="C81" i="1"/>
  <c r="C107" i="1" s="1"/>
  <c r="K81" i="1"/>
  <c r="K107" i="1" s="1"/>
  <c r="B32" i="7"/>
  <c r="B33" i="7" s="1"/>
  <c r="B34" i="7" s="1"/>
  <c r="E22" i="7"/>
  <c r="F22" i="7" s="1"/>
  <c r="F21" i="7"/>
  <c r="F19" i="7"/>
  <c r="E11" i="7"/>
  <c r="E19" i="7"/>
  <c r="F23" i="7"/>
  <c r="B24" i="7"/>
  <c r="B26" i="7" s="1"/>
  <c r="F20" i="7"/>
  <c r="E2" i="7"/>
  <c r="F2" i="7" s="1"/>
  <c r="F8" i="7" s="1"/>
  <c r="E6" i="7"/>
  <c r="F6" i="7" s="1"/>
  <c r="E12" i="7"/>
  <c r="F12" i="7" s="1"/>
  <c r="E13" i="7"/>
  <c r="F13" i="7"/>
  <c r="F15" i="7"/>
  <c r="E3" i="7"/>
  <c r="F3" i="7" s="1"/>
  <c r="E4" i="7"/>
  <c r="F4" i="7" s="1"/>
  <c r="F14" i="7"/>
  <c r="F11" i="7"/>
  <c r="G11" i="6"/>
  <c r="H11" i="6" s="1"/>
  <c r="F7" i="4"/>
  <c r="E11" i="4"/>
  <c r="F11" i="4" s="1"/>
  <c r="E13" i="4"/>
  <c r="E10" i="4"/>
  <c r="F10" i="4" s="1"/>
  <c r="E12" i="4"/>
  <c r="F12" i="4" s="1"/>
  <c r="E14" i="4"/>
  <c r="F14" i="4" s="1"/>
  <c r="F15" i="4" s="1"/>
  <c r="F13" i="4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G25" i="2"/>
  <c r="D26" i="2" s="1"/>
  <c r="C24" i="2"/>
  <c r="N8" i="1"/>
  <c r="M8" i="1"/>
  <c r="L8" i="1"/>
  <c r="K8" i="1"/>
  <c r="J8" i="1"/>
  <c r="I8" i="1"/>
  <c r="H8" i="1"/>
  <c r="G8" i="1"/>
  <c r="F8" i="1"/>
  <c r="E8" i="1"/>
  <c r="D8" i="1"/>
  <c r="C8" i="1"/>
  <c r="E19" i="2"/>
  <c r="E18" i="2"/>
  <c r="E17" i="2"/>
  <c r="E16" i="2"/>
  <c r="E14" i="2"/>
  <c r="C14" i="2"/>
  <c r="B20" i="2"/>
  <c r="N21" i="1"/>
  <c r="N3" i="1"/>
  <c r="M21" i="1"/>
  <c r="M3" i="1"/>
  <c r="L21" i="1"/>
  <c r="L3" i="1"/>
  <c r="K21" i="1"/>
  <c r="K3" i="1"/>
  <c r="J21" i="1"/>
  <c r="J3" i="1"/>
  <c r="I21" i="1"/>
  <c r="I3" i="1"/>
  <c r="H21" i="1"/>
  <c r="H3" i="1"/>
  <c r="G21" i="1"/>
  <c r="F21" i="1"/>
  <c r="G3" i="1"/>
  <c r="F3" i="1"/>
  <c r="B138" i="1" l="1"/>
  <c r="D138" i="1" s="1"/>
  <c r="B136" i="1"/>
  <c r="K134" i="1"/>
  <c r="B147" i="1"/>
  <c r="C147" i="1" s="1"/>
  <c r="D147" i="1" s="1"/>
  <c r="B142" i="1"/>
  <c r="D142" i="1" s="1"/>
  <c r="F142" i="1" s="1"/>
  <c r="B143" i="1"/>
  <c r="D143" i="1" s="1"/>
  <c r="F143" i="1" s="1"/>
  <c r="F155" i="1" s="1"/>
  <c r="B145" i="1"/>
  <c r="D145" i="1" s="1"/>
  <c r="B146" i="1"/>
  <c r="D146" i="1" s="1"/>
  <c r="F146" i="1" s="1"/>
  <c r="B133" i="1"/>
  <c r="D133" i="1" s="1"/>
  <c r="F133" i="1" s="1"/>
  <c r="B139" i="1"/>
  <c r="D139" i="1" s="1"/>
  <c r="F139" i="1" s="1"/>
  <c r="F151" i="1" s="1"/>
  <c r="B135" i="1"/>
  <c r="D135" i="1" s="1"/>
  <c r="F135" i="1" s="1"/>
  <c r="B155" i="1"/>
  <c r="C155" i="1" s="1"/>
  <c r="B137" i="1"/>
  <c r="B140" i="1"/>
  <c r="D140" i="1" s="1"/>
  <c r="F140" i="1" s="1"/>
  <c r="B141" i="1"/>
  <c r="D141" i="1" s="1"/>
  <c r="F141" i="1" s="1"/>
  <c r="F154" i="1" s="1"/>
  <c r="B134" i="1"/>
  <c r="D134" i="1" s="1"/>
  <c r="F134" i="1" s="1"/>
  <c r="F152" i="1" s="1"/>
  <c r="B148" i="1"/>
  <c r="C148" i="1" s="1"/>
  <c r="G148" i="1" s="1"/>
  <c r="H148" i="1" s="1"/>
  <c r="B151" i="1"/>
  <c r="C151" i="1" s="1"/>
  <c r="B149" i="1"/>
  <c r="C149" i="1" s="1"/>
  <c r="G149" i="1" s="1"/>
  <c r="B150" i="1"/>
  <c r="C150" i="1" s="1"/>
  <c r="G150" i="1" s="1"/>
  <c r="H150" i="1" s="1"/>
  <c r="B144" i="1"/>
  <c r="C144" i="1" s="1"/>
  <c r="F16" i="7"/>
  <c r="F24" i="7"/>
  <c r="B152" i="1"/>
  <c r="C152" i="1" s="1"/>
  <c r="F17" i="4"/>
  <c r="E26" i="2"/>
  <c r="G26" i="2" s="1"/>
  <c r="D27" i="2" s="1"/>
  <c r="E20" i="2"/>
  <c r="F20" i="2" s="1"/>
  <c r="C20" i="2"/>
  <c r="G152" i="1" l="1"/>
  <c r="H152" i="1" s="1"/>
  <c r="B154" i="1"/>
  <c r="C154" i="1" s="1"/>
  <c r="G154" i="1" s="1"/>
  <c r="H154" i="1" s="1"/>
  <c r="G155" i="1"/>
  <c r="H155" i="1" s="1"/>
  <c r="F156" i="1"/>
  <c r="G156" i="1" s="1"/>
  <c r="H156" i="1" s="1"/>
  <c r="G151" i="1"/>
  <c r="H151" i="1" s="1"/>
  <c r="C136" i="1"/>
  <c r="G136" i="1" s="1"/>
  <c r="D144" i="1"/>
  <c r="G145" i="1"/>
  <c r="H145" i="1" s="1"/>
  <c r="C137" i="1"/>
  <c r="G137" i="1" s="1"/>
  <c r="K135" i="1"/>
  <c r="K136" i="1" s="1"/>
  <c r="H153" i="1" s="1"/>
  <c r="F147" i="1"/>
  <c r="G147" i="1" s="1"/>
  <c r="H147" i="1" s="1"/>
  <c r="G146" i="1"/>
  <c r="H146" i="1" s="1"/>
  <c r="D150" i="1"/>
  <c r="D148" i="1"/>
  <c r="D152" i="1"/>
  <c r="D149" i="1"/>
  <c r="D155" i="1"/>
  <c r="D151" i="1"/>
  <c r="F26" i="7"/>
  <c r="E27" i="2"/>
  <c r="G27" i="2" s="1"/>
  <c r="D28" i="2" s="1"/>
  <c r="D154" i="1" l="1"/>
  <c r="B157" i="1"/>
  <c r="C157" i="1"/>
  <c r="H137" i="1"/>
  <c r="H157" i="1" s="1"/>
  <c r="D136" i="1"/>
  <c r="F136" i="1" s="1"/>
  <c r="D137" i="1"/>
  <c r="E28" i="2"/>
  <c r="G28" i="2" s="1"/>
  <c r="D29" i="2" s="1"/>
  <c r="D157" i="1" l="1"/>
  <c r="F153" i="1"/>
  <c r="G153" i="1" s="1"/>
  <c r="G157" i="1" s="1"/>
  <c r="E29" i="2"/>
  <c r="G29" i="2" s="1"/>
  <c r="D30" i="2" s="1"/>
  <c r="F157" i="1" l="1"/>
  <c r="E30" i="2"/>
  <c r="G30" i="2" s="1"/>
  <c r="D31" i="2" s="1"/>
  <c r="E31" i="2" s="1"/>
  <c r="G31" i="2" s="1"/>
  <c r="D32" i="2" s="1"/>
  <c r="E32" i="2" s="1"/>
  <c r="G32" i="2" s="1"/>
  <c r="D33" i="2" s="1"/>
  <c r="E33" i="2" l="1"/>
  <c r="G33" i="2" s="1"/>
  <c r="D34" i="2" s="1"/>
  <c r="E34" i="2" l="1"/>
  <c r="G34" i="2" s="1"/>
  <c r="D35" i="2" s="1"/>
  <c r="E35" i="2" l="1"/>
  <c r="G35" i="2" s="1"/>
  <c r="D36" i="2" s="1"/>
  <c r="E36" i="2" l="1"/>
  <c r="G36" i="2" s="1"/>
  <c r="D37" i="2" s="1"/>
  <c r="E37" i="2" l="1"/>
  <c r="G37" i="2" s="1"/>
  <c r="D38" i="2" s="1"/>
  <c r="E38" i="2" l="1"/>
  <c r="G38" i="2" s="1"/>
  <c r="D39" i="2" s="1"/>
  <c r="E39" i="2" l="1"/>
  <c r="G39" i="2" s="1"/>
  <c r="D40" i="2" s="1"/>
  <c r="E40" i="2" l="1"/>
  <c r="G40" i="2" s="1"/>
  <c r="D41" i="2" s="1"/>
  <c r="E41" i="2" l="1"/>
  <c r="G41" i="2" s="1"/>
  <c r="D42" i="2" s="1"/>
  <c r="E42" i="2" l="1"/>
  <c r="G42" i="2" s="1"/>
  <c r="D43" i="2" s="1"/>
  <c r="E43" i="2" l="1"/>
  <c r="G43" i="2" s="1"/>
  <c r="D44" i="2" s="1"/>
  <c r="E44" i="2" l="1"/>
  <c r="G44" i="2" s="1"/>
  <c r="D45" i="2" s="1"/>
  <c r="E45" i="2" l="1"/>
  <c r="G45" i="2" s="1"/>
  <c r="D46" i="2" s="1"/>
  <c r="E46" i="2" l="1"/>
  <c r="G46" i="2" s="1"/>
  <c r="D47" i="2" s="1"/>
  <c r="E47" i="2" l="1"/>
  <c r="G47" i="2" s="1"/>
  <c r="D48" i="2" s="1"/>
  <c r="E48" i="2" l="1"/>
  <c r="G48" i="2" s="1"/>
  <c r="D49" i="2" s="1"/>
  <c r="E49" i="2" l="1"/>
  <c r="G49" i="2" s="1"/>
  <c r="D50" i="2" s="1"/>
  <c r="E50" i="2" l="1"/>
  <c r="G50" i="2" s="1"/>
  <c r="D51" i="2" s="1"/>
  <c r="E51" i="2" l="1"/>
  <c r="G51" i="2" s="1"/>
  <c r="D52" i="2" s="1"/>
  <c r="E52" i="2" l="1"/>
  <c r="G52" i="2" s="1"/>
  <c r="D53" i="2" s="1"/>
  <c r="E53" i="2" l="1"/>
  <c r="G53" i="2" s="1"/>
  <c r="D54" i="2" s="1"/>
  <c r="E54" i="2" l="1"/>
  <c r="G54" i="2" s="1"/>
  <c r="D55" i="2" s="1"/>
  <c r="E55" i="2" l="1"/>
  <c r="G55" i="2" s="1"/>
  <c r="D56" i="2" s="1"/>
  <c r="E56" i="2" l="1"/>
  <c r="G56" i="2" s="1"/>
  <c r="D57" i="2" s="1"/>
  <c r="E57" i="2" l="1"/>
  <c r="G57" i="2" s="1"/>
  <c r="D58" i="2" s="1"/>
  <c r="E58" i="2" l="1"/>
  <c r="G58" i="2" s="1"/>
  <c r="D59" i="2" s="1"/>
  <c r="E59" i="2" l="1"/>
  <c r="G59" i="2" s="1"/>
  <c r="D60" i="2" s="1"/>
  <c r="E60" i="2" l="1"/>
  <c r="G60" i="2" s="1"/>
  <c r="D61" i="2" s="1"/>
  <c r="E61" i="2" l="1"/>
  <c r="G61" i="2" s="1"/>
  <c r="B26" i="1" l="1"/>
  <c r="C16" i="1"/>
  <c r="D16" i="1"/>
  <c r="D26" i="1" l="1"/>
  <c r="C26" i="1"/>
  <c r="E16" i="1"/>
  <c r="F16" i="1" l="1"/>
  <c r="E26" i="1"/>
  <c r="G16" i="1" l="1"/>
  <c r="F26" i="1"/>
  <c r="G26" i="1" l="1"/>
  <c r="H16" i="1"/>
  <c r="I16" i="1" l="1"/>
  <c r="H26" i="1"/>
  <c r="I26" i="1" l="1"/>
  <c r="J16" i="1"/>
  <c r="K16" i="1" l="1"/>
  <c r="J26" i="1"/>
  <c r="K26" i="1" l="1"/>
  <c r="L16" i="1"/>
  <c r="M16" i="1" l="1"/>
  <c r="L26" i="1"/>
  <c r="N16" i="1" l="1"/>
  <c r="M26" i="1"/>
  <c r="N26" i="1" l="1"/>
</calcChain>
</file>

<file path=xl/sharedStrings.xml><?xml version="1.0" encoding="utf-8"?>
<sst xmlns="http://schemas.openxmlformats.org/spreadsheetml/2006/main" count="327" uniqueCount="110">
  <si>
    <t>Caja &amp; bancos - Moneda  local</t>
  </si>
  <si>
    <t>Caja &amp; bancos - Moneda extranjera</t>
  </si>
  <si>
    <t>Créditos por ventas</t>
  </si>
  <si>
    <t>Bienes de cambio</t>
  </si>
  <si>
    <t>Bienes de uso - costo de origen</t>
  </si>
  <si>
    <t>Bienes de uso - depreciación acumulada</t>
  </si>
  <si>
    <t>Cuentas comerciales por pagar</t>
  </si>
  <si>
    <t>Pasivos financieros</t>
  </si>
  <si>
    <t>Impuesto a las ganancias a pagar</t>
  </si>
  <si>
    <t>Capital</t>
  </si>
  <si>
    <t>Reserva legal</t>
  </si>
  <si>
    <t>Resultados acumulados</t>
  </si>
  <si>
    <t>Ventas</t>
  </si>
  <si>
    <t>Costo de ventas</t>
  </si>
  <si>
    <t>Costos operativos</t>
  </si>
  <si>
    <t>Depreciación del ejercicio</t>
  </si>
  <si>
    <t>Diferencias de cotización - moneda extranjera</t>
  </si>
  <si>
    <t>Costos financieros</t>
  </si>
  <si>
    <t>Impuesto a las ganancias</t>
  </si>
  <si>
    <t>Compras</t>
  </si>
  <si>
    <t>Control</t>
  </si>
  <si>
    <t>Descripción</t>
  </si>
  <si>
    <t>En marzo, compró USD 18,000 a un tipo de cambio de $22,22 por cada USD.</t>
  </si>
  <si>
    <t>En octubre, compró USD 10,000 adicionales, a un tipo de cambio de $35,5 por cada USD</t>
  </si>
  <si>
    <t>El tipo de cambio al cierre era de $38 por cada USD.</t>
  </si>
  <si>
    <t>Sobre tenencia en moneda extranjera:</t>
  </si>
  <si>
    <t>Sobre bienes de cambio:</t>
  </si>
  <si>
    <t>Los mide al costo de resposición al cierre.</t>
  </si>
  <si>
    <t>Según el recuento de inventarios, la existencia final valorizada ascendía a $170,000.</t>
  </si>
  <si>
    <t>La compañía determina sus precios de venta "cargando" al costo de resposición un 30%.</t>
  </si>
  <si>
    <t>Actualia sus precios mensualmente, en base a la lista de precios actualizada de sus proveedores</t>
  </si>
  <si>
    <t>Sobre los bienes de uso:</t>
  </si>
  <si>
    <t>Registro de altas</t>
  </si>
  <si>
    <t>Existentes en febrero de 2003</t>
  </si>
  <si>
    <t>Altas posteriores</t>
  </si>
  <si>
    <t>Total</t>
  </si>
  <si>
    <t>Acumulada</t>
  </si>
  <si>
    <t>Anual</t>
  </si>
  <si>
    <t>Alícuota</t>
  </si>
  <si>
    <t>Ajuste de capital</t>
  </si>
  <si>
    <t>Mensual</t>
  </si>
  <si>
    <t xml:space="preserve">RESOLUCIÓN TÉCNICA N° 6  
"ESTADOS CONTABLES EN MONEDA HOMOGENEA" 
ÍNDICE DEFINIDO POR LA RESOLUCIÓN DE JG 539/18                    
</t>
  </si>
  <si>
    <t>MES</t>
  </si>
  <si>
    <t>IPC NACIONAL EMPALME IPIM</t>
  </si>
  <si>
    <t>TIR</t>
  </si>
  <si>
    <t>Al inicio</t>
  </si>
  <si>
    <t>C. Financ.</t>
  </si>
  <si>
    <t>Pagos</t>
  </si>
  <si>
    <t>Al final</t>
  </si>
  <si>
    <t>Sobre la deuda financiera:</t>
  </si>
  <si>
    <t>Sobre el patrimonio:</t>
  </si>
  <si>
    <t>En abril de 2018 se aprobó:</t>
  </si>
  <si>
    <t>Pagar un dividendo en efectivo, por $600,000</t>
  </si>
  <si>
    <t>Constituir una reserva legal, por $7,500</t>
  </si>
  <si>
    <t>Cuadro de marcha (miles $Hist.)</t>
  </si>
  <si>
    <t>Indice origen</t>
  </si>
  <si>
    <t>Indice cierre</t>
  </si>
  <si>
    <t>Coeficiente</t>
  </si>
  <si>
    <t>$.Cierre</t>
  </si>
  <si>
    <t>$.Hist.</t>
  </si>
  <si>
    <t>Costo origen</t>
  </si>
  <si>
    <t>Importe neto</t>
  </si>
  <si>
    <t>Cierre</t>
  </si>
  <si>
    <t>Anterior</t>
  </si>
  <si>
    <t>Dep. Acum</t>
  </si>
  <si>
    <t>Clasific. $</t>
  </si>
  <si>
    <t>Origen</t>
  </si>
  <si>
    <t>Pasivo por impuesto diferido</t>
  </si>
  <si>
    <t>Bienes de uso - neto (base contable)</t>
  </si>
  <si>
    <t>Bienes de uso - neto (base fiscal)</t>
  </si>
  <si>
    <t>Diferencia temporaria</t>
  </si>
  <si>
    <t>Alícuota - 25% | pasivo (activo) ID</t>
  </si>
  <si>
    <t>Indices</t>
  </si>
  <si>
    <t>Variaciones en $.Cierre</t>
  </si>
  <si>
    <t>Acumulado teórico vs real</t>
  </si>
  <si>
    <t>Teórico</t>
  </si>
  <si>
    <t>Real</t>
  </si>
  <si>
    <t>Variación</t>
  </si>
  <si>
    <t>Dep. Ej</t>
  </si>
  <si>
    <t>Deprec. Acum.</t>
  </si>
  <si>
    <t>Ajuste</t>
  </si>
  <si>
    <t>RECPAM</t>
  </si>
  <si>
    <t>DIF_COT</t>
  </si>
  <si>
    <t>RES_TEN</t>
  </si>
  <si>
    <t>DEP_EJ</t>
  </si>
  <si>
    <t>COSTO_FIN</t>
  </si>
  <si>
    <t>IMP_GAN</t>
  </si>
  <si>
    <t>Resultado de tenencia - Bienes de cambio</t>
  </si>
  <si>
    <t>AJUSTADO</t>
  </si>
  <si>
    <t>Costo</t>
  </si>
  <si>
    <t>Mes</t>
  </si>
  <si>
    <t>EI</t>
  </si>
  <si>
    <t>C</t>
  </si>
  <si>
    <t>EF</t>
  </si>
  <si>
    <t>CMV</t>
  </si>
  <si>
    <t>Asignación</t>
  </si>
  <si>
    <t>RxT</t>
  </si>
  <si>
    <t>CONTROL</t>
  </si>
  <si>
    <t>Ajuste de</t>
  </si>
  <si>
    <t>Reserva</t>
  </si>
  <si>
    <t>Legal</t>
  </si>
  <si>
    <t>Resultados</t>
  </si>
  <si>
    <t>No asignados</t>
  </si>
  <si>
    <t>Patrimonio</t>
  </si>
  <si>
    <t>Decisiones de la Asamblea</t>
  </si>
  <si>
    <t xml:space="preserve"> * Reserva legal</t>
  </si>
  <si>
    <t xml:space="preserve"> * Dividendos en efectivo</t>
  </si>
  <si>
    <t>Resultado del ejercicio</t>
  </si>
  <si>
    <t>Al 31 de diciembre, 2018</t>
  </si>
  <si>
    <t>Al 1 de enero,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</si>
</sst>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#,##0;\(#,##0\);\-"/>
    <numFmt numFmtId="165" formatCode="_ * #,##0_ ;_ * \-#,##0_ ;_ * &quot;-&quot;??_ ;_ @_ "/>
    <numFmt numFmtId="167" formatCode="_ * #,##0.0_ ;_ * \-#,##0.0_ ;_ * &quot;-&quot;??_ ;_ @_ "/>
    <numFmt numFmtId="170" formatCode="0.0000"/>
    <numFmt numFmtId="171" formatCode="_ * #,##0.0000_ ;_ * \-#,##0.000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Tahoma"/>
      <family val="2"/>
    </font>
    <font>
      <b/>
      <sz val="10"/>
      <color theme="0"/>
      <name val="Tahoma"/>
      <family val="2"/>
    </font>
    <font>
      <sz val="10"/>
      <color rgb="FFC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71">
    <xf numFmtId="0" fontId="0" fillId="0" borderId="0" xfId="0"/>
    <xf numFmtId="164" fontId="0" fillId="0" borderId="0" xfId="0" applyNumberFormat="1"/>
    <xf numFmtId="0" fontId="2" fillId="2" borderId="0" xfId="0" applyFont="1" applyFill="1"/>
    <xf numFmtId="0" fontId="3" fillId="0" borderId="0" xfId="0" applyFont="1"/>
    <xf numFmtId="164" fontId="3" fillId="0" borderId="0" xfId="0" applyNumberFormat="1" applyFont="1"/>
    <xf numFmtId="164" fontId="2" fillId="2" borderId="0" xfId="0" applyNumberFormat="1" applyFont="1" applyFill="1"/>
    <xf numFmtId="0" fontId="4" fillId="0" borderId="0" xfId="0" applyFont="1"/>
    <xf numFmtId="165" fontId="3" fillId="0" borderId="0" xfId="0" applyNumberFormat="1" applyFont="1"/>
    <xf numFmtId="9" fontId="3" fillId="0" borderId="0" xfId="2" applyFont="1"/>
    <xf numFmtId="17" fontId="3" fillId="0" borderId="0" xfId="0" applyNumberFormat="1" applyFont="1"/>
    <xf numFmtId="0" fontId="3" fillId="0" borderId="0" xfId="0" applyFont="1" applyAlignment="1">
      <alignment horizontal="right"/>
    </xf>
    <xf numFmtId="10" fontId="3" fillId="0" borderId="0" xfId="2" applyNumberFormat="1" applyFont="1"/>
    <xf numFmtId="167" fontId="3" fillId="0" borderId="0" xfId="0" applyNumberFormat="1" applyFont="1"/>
    <xf numFmtId="10" fontId="3" fillId="0" borderId="0" xfId="0" applyNumberFormat="1" applyFont="1"/>
    <xf numFmtId="43" fontId="3" fillId="0" borderId="0" xfId="1" applyFont="1"/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10" fontId="3" fillId="0" borderId="1" xfId="0" applyNumberFormat="1" applyFont="1" applyBorder="1"/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8" fillId="0" borderId="0" xfId="0" applyFont="1" applyFill="1" applyBorder="1"/>
    <xf numFmtId="17" fontId="3" fillId="0" borderId="4" xfId="0" applyNumberFormat="1" applyFont="1" applyBorder="1" applyAlignment="1">
      <alignment horizontal="center"/>
    </xf>
    <xf numFmtId="0" fontId="3" fillId="0" borderId="4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17" fontId="7" fillId="0" borderId="4" xfId="0" applyNumberFormat="1" applyFont="1" applyFill="1" applyBorder="1" applyAlignment="1">
      <alignment horizontal="center" vertical="center" wrapText="1"/>
    </xf>
    <xf numFmtId="170" fontId="7" fillId="0" borderId="4" xfId="3" applyNumberFormat="1" applyFont="1" applyBorder="1"/>
    <xf numFmtId="17" fontId="8" fillId="0" borderId="4" xfId="0" applyNumberFormat="1" applyFont="1" applyFill="1" applyBorder="1" applyAlignment="1">
      <alignment horizontal="center"/>
    </xf>
    <xf numFmtId="170" fontId="7" fillId="0" borderId="4" xfId="0" applyNumberFormat="1" applyFont="1" applyFill="1" applyBorder="1" applyAlignment="1" applyProtection="1"/>
    <xf numFmtId="170" fontId="6" fillId="0" borderId="4" xfId="3" applyNumberFormat="1" applyFont="1" applyFill="1" applyBorder="1"/>
    <xf numFmtId="170" fontId="7" fillId="0" borderId="4" xfId="3" applyNumberFormat="1" applyFont="1" applyFill="1" applyBorder="1"/>
    <xf numFmtId="0" fontId="3" fillId="0" borderId="0" xfId="0" applyFont="1" applyFill="1"/>
    <xf numFmtId="0" fontId="3" fillId="0" borderId="7" xfId="0" applyFont="1" applyBorder="1"/>
    <xf numFmtId="0" fontId="3" fillId="0" borderId="0" xfId="0" applyFont="1" applyBorder="1"/>
    <xf numFmtId="10" fontId="3" fillId="0" borderId="0" xfId="0" applyNumberFormat="1" applyFont="1" applyBorder="1"/>
    <xf numFmtId="0" fontId="3" fillId="0" borderId="7" xfId="0" applyFont="1" applyFill="1" applyBorder="1"/>
    <xf numFmtId="17" fontId="3" fillId="0" borderId="0" xfId="0" applyNumberFormat="1" applyFont="1" applyFill="1" applyBorder="1"/>
    <xf numFmtId="17" fontId="3" fillId="0" borderId="0" xfId="0" applyNumberFormat="1" applyFont="1" applyBorder="1"/>
    <xf numFmtId="0" fontId="4" fillId="0" borderId="7" xfId="0" applyFont="1" applyBorder="1"/>
    <xf numFmtId="0" fontId="4" fillId="0" borderId="0" xfId="0" applyFont="1" applyBorder="1"/>
    <xf numFmtId="171" fontId="3" fillId="0" borderId="0" xfId="1" applyNumberFormat="1" applyFont="1"/>
    <xf numFmtId="171" fontId="3" fillId="0" borderId="1" xfId="1" applyNumberFormat="1" applyFont="1" applyBorder="1"/>
    <xf numFmtId="43" fontId="3" fillId="0" borderId="1" xfId="1" applyFont="1" applyBorder="1"/>
    <xf numFmtId="17" fontId="3" fillId="0" borderId="1" xfId="0" applyNumberFormat="1" applyFont="1" applyBorder="1"/>
    <xf numFmtId="0" fontId="3" fillId="2" borderId="0" xfId="0" applyFont="1" applyFill="1"/>
    <xf numFmtId="0" fontId="9" fillId="2" borderId="0" xfId="0" applyFont="1" applyFill="1"/>
    <xf numFmtId="0" fontId="4" fillId="4" borderId="0" xfId="0" applyFont="1" applyFill="1" applyAlignment="1">
      <alignment horizontal="right"/>
    </xf>
    <xf numFmtId="164" fontId="4" fillId="4" borderId="0" xfId="0" applyNumberFormat="1" applyFont="1" applyFill="1"/>
    <xf numFmtId="0" fontId="4" fillId="4" borderId="0" xfId="0" applyFont="1" applyFill="1"/>
    <xf numFmtId="17" fontId="9" fillId="2" borderId="0" xfId="0" applyNumberFormat="1" applyFont="1" applyFill="1"/>
    <xf numFmtId="0" fontId="9" fillId="2" borderId="0" xfId="0" applyFont="1" applyFill="1" applyAlignment="1">
      <alignment horizontal="left"/>
    </xf>
    <xf numFmtId="17" fontId="9" fillId="2" borderId="0" xfId="0" applyNumberFormat="1" applyFont="1" applyFill="1" applyAlignment="1">
      <alignment horizontal="left"/>
    </xf>
    <xf numFmtId="0" fontId="10" fillId="0" borderId="0" xfId="0" applyFont="1"/>
    <xf numFmtId="164" fontId="10" fillId="0" borderId="0" xfId="0" applyNumberFormat="1" applyFont="1"/>
    <xf numFmtId="17" fontId="10" fillId="0" borderId="0" xfId="0" applyNumberFormat="1" applyFont="1"/>
    <xf numFmtId="0" fontId="3" fillId="5" borderId="0" xfId="0" applyFont="1" applyFill="1"/>
    <xf numFmtId="164" fontId="3" fillId="5" borderId="0" xfId="0" applyNumberFormat="1" applyFont="1" applyFill="1"/>
    <xf numFmtId="43" fontId="10" fillId="0" borderId="0" xfId="1" applyFont="1"/>
    <xf numFmtId="164" fontId="3" fillId="0" borderId="0" xfId="0" applyNumberFormat="1" applyFont="1" applyBorder="1"/>
    <xf numFmtId="171" fontId="3" fillId="0" borderId="0" xfId="1" applyNumberFormat="1" applyFont="1" applyBorder="1"/>
    <xf numFmtId="43" fontId="3" fillId="0" borderId="0" xfId="1" applyFont="1" applyBorder="1"/>
    <xf numFmtId="0" fontId="9" fillId="2" borderId="1" xfId="0" applyFont="1" applyFill="1" applyBorder="1" applyAlignment="1">
      <alignment horizontal="center"/>
    </xf>
    <xf numFmtId="0" fontId="3" fillId="0" borderId="9" xfId="0" applyFont="1" applyBorder="1"/>
    <xf numFmtId="164" fontId="3" fillId="0" borderId="10" xfId="0" applyNumberFormat="1" applyFont="1" applyBorder="1"/>
    <xf numFmtId="164" fontId="3" fillId="0" borderId="11" xfId="0" applyNumberFormat="1" applyFont="1" applyBorder="1"/>
    <xf numFmtId="0" fontId="3" fillId="4" borderId="8" xfId="0" applyFont="1" applyFill="1" applyBorder="1"/>
    <xf numFmtId="164" fontId="3" fillId="4" borderId="12" xfId="0" applyNumberFormat="1" applyFont="1" applyFill="1" applyBorder="1"/>
    <xf numFmtId="164" fontId="9" fillId="2" borderId="0" xfId="0" applyNumberFormat="1" applyFont="1" applyFill="1"/>
    <xf numFmtId="0" fontId="3" fillId="0" borderId="1" xfId="0" applyFont="1" applyBorder="1" applyAlignment="1">
      <alignment horizontal="right"/>
    </xf>
  </cellXfs>
  <cellStyles count="4">
    <cellStyle name="Millares" xfId="1" builtinId="3"/>
    <cellStyle name="Normal" xfId="0" builtinId="0"/>
    <cellStyle name="Normal 4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15"/>
  <sheetViews>
    <sheetView showGridLines="0" workbookViewId="0">
      <pane ySplit="3" topLeftCell="A304" activePane="bottomLeft" state="frozen"/>
      <selection pane="bottomLeft" activeCell="G17" sqref="G17"/>
    </sheetView>
  </sheetViews>
  <sheetFormatPr baseColWidth="10" defaultRowHeight="12.75" x14ac:dyDescent="0.2"/>
  <cols>
    <col min="1" max="1" width="16.42578125" style="3" customWidth="1"/>
    <col min="2" max="2" width="28.85546875" style="3" customWidth="1"/>
    <col min="3" max="16384" width="11.42578125" style="3"/>
  </cols>
  <sheetData>
    <row r="1" spans="1:2" ht="80.25" customHeight="1" thickBot="1" x14ac:dyDescent="0.25">
      <c r="A1" s="20" t="s">
        <v>41</v>
      </c>
      <c r="B1" s="21"/>
    </row>
    <row r="2" spans="1:2" ht="13.5" thickBot="1" x14ac:dyDescent="0.25"/>
    <row r="3" spans="1:2" x14ac:dyDescent="0.2">
      <c r="A3" s="25" t="s">
        <v>42</v>
      </c>
      <c r="B3" s="26" t="s">
        <v>43</v>
      </c>
    </row>
    <row r="4" spans="1:2" ht="22.5" customHeight="1" x14ac:dyDescent="0.2">
      <c r="A4" s="27">
        <v>33970</v>
      </c>
      <c r="B4" s="28">
        <v>7.4670667346606479</v>
      </c>
    </row>
    <row r="5" spans="1:2" ht="22.5" customHeight="1" x14ac:dyDescent="0.2">
      <c r="A5" s="27">
        <v>34001</v>
      </c>
      <c r="B5" s="28">
        <v>7.5009994172178738</v>
      </c>
    </row>
    <row r="6" spans="1:2" ht="22.5" customHeight="1" x14ac:dyDescent="0.2">
      <c r="A6" s="27">
        <v>34029</v>
      </c>
      <c r="B6" s="28">
        <v>7.522855448481697</v>
      </c>
    </row>
    <row r="7" spans="1:2" ht="22.5" customHeight="1" x14ac:dyDescent="0.2">
      <c r="A7" s="27">
        <v>34060</v>
      </c>
      <c r="B7" s="28">
        <v>7.5619707627410095</v>
      </c>
    </row>
    <row r="8" spans="1:2" ht="22.5" customHeight="1" x14ac:dyDescent="0.2">
      <c r="A8" s="27">
        <v>34090</v>
      </c>
      <c r="B8" s="28">
        <v>7.5379824857185964</v>
      </c>
    </row>
    <row r="9" spans="1:2" ht="22.5" customHeight="1" x14ac:dyDescent="0.2">
      <c r="A9" s="27">
        <v>34121</v>
      </c>
      <c r="B9" s="28">
        <v>7.5522868623991686</v>
      </c>
    </row>
    <row r="10" spans="1:2" ht="22.5" customHeight="1" x14ac:dyDescent="0.2">
      <c r="A10" s="27">
        <v>34151</v>
      </c>
      <c r="B10" s="28">
        <v>7.560007680282113</v>
      </c>
    </row>
    <row r="11" spans="1:2" ht="22.5" customHeight="1" x14ac:dyDescent="0.2">
      <c r="A11" s="27">
        <v>34182</v>
      </c>
      <c r="B11" s="28">
        <v>7.5932269137687038</v>
      </c>
    </row>
    <row r="12" spans="1:2" ht="22.5" customHeight="1" x14ac:dyDescent="0.2">
      <c r="A12" s="27">
        <v>34213</v>
      </c>
      <c r="B12" s="28">
        <v>7.5641672631575219</v>
      </c>
    </row>
    <row r="13" spans="1:2" ht="22.5" customHeight="1" x14ac:dyDescent="0.2">
      <c r="A13" s="27">
        <v>34243</v>
      </c>
      <c r="B13" s="28">
        <v>7.5769304654789558</v>
      </c>
    </row>
    <row r="14" spans="1:2" ht="22.5" customHeight="1" x14ac:dyDescent="0.2">
      <c r="A14" s="27">
        <v>34274</v>
      </c>
      <c r="B14" s="28">
        <v>7.5110623794019418</v>
      </c>
    </row>
    <row r="15" spans="1:2" ht="22.5" customHeight="1" x14ac:dyDescent="0.2">
      <c r="A15" s="27">
        <v>34304</v>
      </c>
      <c r="B15" s="28">
        <v>7.4488593912260432</v>
      </c>
    </row>
    <row r="16" spans="1:2" ht="22.5" customHeight="1" x14ac:dyDescent="0.2">
      <c r="A16" s="27">
        <v>34335</v>
      </c>
      <c r="B16" s="28">
        <v>7.4125880959717492</v>
      </c>
    </row>
    <row r="17" spans="1:2" ht="22.5" customHeight="1" x14ac:dyDescent="0.2">
      <c r="A17" s="27">
        <v>34366</v>
      </c>
      <c r="B17" s="28">
        <v>7.3658827644727394</v>
      </c>
    </row>
    <row r="18" spans="1:2" ht="22.5" customHeight="1" x14ac:dyDescent="0.2">
      <c r="A18" s="27">
        <v>34394</v>
      </c>
      <c r="B18" s="28">
        <v>7.3719092588597084</v>
      </c>
    </row>
    <row r="19" spans="1:2" ht="22.5" customHeight="1" x14ac:dyDescent="0.2">
      <c r="A19" s="27">
        <v>34425</v>
      </c>
      <c r="B19" s="28">
        <v>7.3982751718026973</v>
      </c>
    </row>
    <row r="20" spans="1:2" ht="22.5" customHeight="1" x14ac:dyDescent="0.2">
      <c r="A20" s="27">
        <v>34455</v>
      </c>
      <c r="B20" s="28">
        <v>7.4849060286153755</v>
      </c>
    </row>
    <row r="21" spans="1:2" ht="22.5" customHeight="1" x14ac:dyDescent="0.2">
      <c r="A21" s="27">
        <v>34486</v>
      </c>
      <c r="B21" s="28">
        <v>7.5436643488883224</v>
      </c>
    </row>
    <row r="22" spans="1:2" ht="22.5" customHeight="1" x14ac:dyDescent="0.2">
      <c r="A22" s="27">
        <v>34516</v>
      </c>
      <c r="B22" s="28">
        <v>7.5813299388068778</v>
      </c>
    </row>
    <row r="23" spans="1:2" ht="22.5" customHeight="1" x14ac:dyDescent="0.2">
      <c r="A23" s="27">
        <v>34547</v>
      </c>
      <c r="B23" s="28">
        <v>7.5737968208231674</v>
      </c>
    </row>
    <row r="24" spans="1:2" ht="22.5" customHeight="1" x14ac:dyDescent="0.2">
      <c r="A24" s="27">
        <v>34578</v>
      </c>
      <c r="B24" s="28">
        <v>7.5730435090247958</v>
      </c>
    </row>
    <row r="25" spans="1:2" ht="22.5" customHeight="1" x14ac:dyDescent="0.2">
      <c r="A25" s="27">
        <v>34608</v>
      </c>
      <c r="B25" s="28">
        <v>7.5941362393791874</v>
      </c>
    </row>
    <row r="26" spans="1:2" ht="22.5" customHeight="1" x14ac:dyDescent="0.2">
      <c r="A26" s="27">
        <v>34639</v>
      </c>
      <c r="B26" s="28">
        <v>7.6559078068456179</v>
      </c>
    </row>
    <row r="27" spans="1:2" ht="22.5" customHeight="1" x14ac:dyDescent="0.2">
      <c r="A27" s="27">
        <v>34669</v>
      </c>
      <c r="B27" s="28">
        <v>7.6687141074179266</v>
      </c>
    </row>
    <row r="28" spans="1:2" ht="22.5" customHeight="1" x14ac:dyDescent="0.2">
      <c r="A28" s="27">
        <v>34700</v>
      </c>
      <c r="B28" s="28">
        <v>7.7771910063833669</v>
      </c>
    </row>
    <row r="29" spans="1:2" ht="22.5" customHeight="1" x14ac:dyDescent="0.2">
      <c r="A29" s="27">
        <v>34731</v>
      </c>
      <c r="B29" s="28">
        <v>7.8073234783182119</v>
      </c>
    </row>
    <row r="30" spans="1:2" ht="22.5" customHeight="1" x14ac:dyDescent="0.2">
      <c r="A30" s="27">
        <v>34759</v>
      </c>
      <c r="B30" s="28">
        <v>7.7606181468192021</v>
      </c>
    </row>
    <row r="31" spans="1:2" ht="22.5" customHeight="1" x14ac:dyDescent="0.2">
      <c r="A31" s="27">
        <v>34790</v>
      </c>
      <c r="B31" s="28">
        <v>8.0205107172572365</v>
      </c>
    </row>
    <row r="32" spans="1:2" ht="22.5" customHeight="1" x14ac:dyDescent="0.2">
      <c r="A32" s="27">
        <v>34820</v>
      </c>
      <c r="B32" s="28">
        <v>8.0303037706360598</v>
      </c>
    </row>
    <row r="33" spans="1:2" ht="22.5" customHeight="1" x14ac:dyDescent="0.2">
      <c r="A33" s="27">
        <v>34851</v>
      </c>
      <c r="B33" s="28">
        <v>8.0551630599823092</v>
      </c>
    </row>
    <row r="34" spans="1:2" ht="22.5" customHeight="1" x14ac:dyDescent="0.2">
      <c r="A34" s="27">
        <v>34881</v>
      </c>
      <c r="B34" s="28">
        <v>8.0852955319171524</v>
      </c>
    </row>
    <row r="35" spans="1:2" ht="22.5" customHeight="1" x14ac:dyDescent="0.2">
      <c r="A35" s="27">
        <v>34912</v>
      </c>
      <c r="B35" s="28">
        <v>8.1101548212633983</v>
      </c>
    </row>
    <row r="36" spans="1:2" ht="22.5" customHeight="1" x14ac:dyDescent="0.2">
      <c r="A36" s="27">
        <v>34943</v>
      </c>
      <c r="B36" s="28">
        <v>8.1116614448601414</v>
      </c>
    </row>
    <row r="37" spans="1:2" ht="22.5" customHeight="1" x14ac:dyDescent="0.2">
      <c r="A37" s="27">
        <v>34973</v>
      </c>
      <c r="B37" s="28">
        <v>8.1026217032796879</v>
      </c>
    </row>
    <row r="38" spans="1:2" ht="22.5" customHeight="1" x14ac:dyDescent="0.2">
      <c r="A38" s="27">
        <v>35004</v>
      </c>
      <c r="B38" s="28">
        <v>8.0883087791106369</v>
      </c>
    </row>
    <row r="39" spans="1:2" ht="22.5" customHeight="1" x14ac:dyDescent="0.2">
      <c r="A39" s="27">
        <v>35034</v>
      </c>
      <c r="B39" s="28">
        <v>8.1154280038519975</v>
      </c>
    </row>
    <row r="40" spans="1:2" ht="22.5" customHeight="1" x14ac:dyDescent="0.2">
      <c r="A40" s="27">
        <v>35065</v>
      </c>
      <c r="B40" s="28">
        <v>8.1335074870129027</v>
      </c>
    </row>
    <row r="41" spans="1:2" ht="22.5" customHeight="1" x14ac:dyDescent="0.2">
      <c r="A41" s="27">
        <v>35096</v>
      </c>
      <c r="B41" s="28">
        <v>8.1252210572308208</v>
      </c>
    </row>
    <row r="42" spans="1:2" ht="22.5" customHeight="1" x14ac:dyDescent="0.2">
      <c r="A42" s="27">
        <v>35125</v>
      </c>
      <c r="B42" s="28">
        <v>8.1884992482939953</v>
      </c>
    </row>
    <row r="43" spans="1:2" ht="22.5" customHeight="1" x14ac:dyDescent="0.2">
      <c r="A43" s="27">
        <v>35156</v>
      </c>
      <c r="B43" s="28">
        <v>8.310535759630115</v>
      </c>
    </row>
    <row r="44" spans="1:2" ht="22.5" customHeight="1" x14ac:dyDescent="0.2">
      <c r="A44" s="27">
        <v>35186</v>
      </c>
      <c r="B44" s="28">
        <v>8.3293685545893918</v>
      </c>
    </row>
    <row r="45" spans="1:2" ht="22.5" customHeight="1" x14ac:dyDescent="0.2">
      <c r="A45" s="27">
        <v>35217</v>
      </c>
      <c r="B45" s="28">
        <v>8.2668436753245906</v>
      </c>
    </row>
    <row r="46" spans="1:2" ht="22.5" customHeight="1" x14ac:dyDescent="0.2">
      <c r="A46" s="27">
        <v>35247</v>
      </c>
      <c r="B46" s="28">
        <v>8.2570506219457656</v>
      </c>
    </row>
    <row r="47" spans="1:2" ht="22.5" customHeight="1" x14ac:dyDescent="0.2">
      <c r="A47" s="27">
        <v>35278</v>
      </c>
      <c r="B47" s="28">
        <v>8.2314380208011482</v>
      </c>
    </row>
    <row r="48" spans="1:2" ht="22.5" customHeight="1" x14ac:dyDescent="0.2">
      <c r="A48" s="27">
        <v>35309</v>
      </c>
      <c r="B48" s="28">
        <v>8.3256019955975376</v>
      </c>
    </row>
    <row r="49" spans="1:2" ht="22.5" customHeight="1" x14ac:dyDescent="0.2">
      <c r="A49" s="27">
        <v>35339</v>
      </c>
      <c r="B49" s="28">
        <v>8.3595010265242369</v>
      </c>
    </row>
    <row r="50" spans="1:2" ht="22.5" customHeight="1" x14ac:dyDescent="0.2">
      <c r="A50" s="27">
        <v>35370</v>
      </c>
      <c r="B50" s="28">
        <v>8.2939629000659494</v>
      </c>
    </row>
    <row r="51" spans="1:2" ht="22.5" customHeight="1" x14ac:dyDescent="0.2">
      <c r="A51" s="27">
        <v>35400</v>
      </c>
      <c r="B51" s="28">
        <v>8.2826632230903847</v>
      </c>
    </row>
    <row r="52" spans="1:2" ht="22.5" customHeight="1" x14ac:dyDescent="0.2">
      <c r="A52" s="27">
        <v>35431</v>
      </c>
      <c r="B52" s="28">
        <v>8.312795695025228</v>
      </c>
    </row>
    <row r="53" spans="1:2" ht="22.5" customHeight="1" x14ac:dyDescent="0.2">
      <c r="A53" s="27">
        <v>35462</v>
      </c>
      <c r="B53" s="28">
        <v>8.298482770856177</v>
      </c>
    </row>
    <row r="54" spans="1:2" ht="22.5" customHeight="1" x14ac:dyDescent="0.2">
      <c r="A54" s="27">
        <v>35490</v>
      </c>
      <c r="B54" s="28">
        <v>8.274376793308301</v>
      </c>
    </row>
    <row r="55" spans="1:2" ht="22.5" customHeight="1" x14ac:dyDescent="0.2">
      <c r="A55" s="27">
        <v>35521</v>
      </c>
      <c r="B55" s="28">
        <v>8.2382178269864887</v>
      </c>
    </row>
    <row r="56" spans="1:2" ht="22.5" customHeight="1" x14ac:dyDescent="0.2">
      <c r="A56" s="27">
        <v>35551</v>
      </c>
      <c r="B56" s="28">
        <v>8.2901963410740951</v>
      </c>
    </row>
    <row r="57" spans="1:2" ht="22.5" customHeight="1" x14ac:dyDescent="0.2">
      <c r="A57" s="27">
        <v>35582</v>
      </c>
      <c r="B57" s="28">
        <v>8.2570506219457656</v>
      </c>
    </row>
    <row r="58" spans="1:2" ht="22.5" customHeight="1" x14ac:dyDescent="0.2">
      <c r="A58" s="27">
        <v>35612</v>
      </c>
      <c r="B58" s="28">
        <v>8.2208916556239515</v>
      </c>
    </row>
    <row r="59" spans="1:2" ht="22.5" customHeight="1" x14ac:dyDescent="0.2">
      <c r="A59" s="27">
        <v>35643</v>
      </c>
      <c r="B59" s="28">
        <v>8.2773900405017855</v>
      </c>
    </row>
    <row r="60" spans="1:2" ht="22.5" customHeight="1" x14ac:dyDescent="0.2">
      <c r="A60" s="27">
        <v>35674</v>
      </c>
      <c r="B60" s="28">
        <v>8.2879364056789822</v>
      </c>
    </row>
    <row r="61" spans="1:2" ht="22.5" customHeight="1" x14ac:dyDescent="0.2">
      <c r="A61" s="27">
        <v>35704</v>
      </c>
      <c r="B61" s="28">
        <v>8.2781433523001571</v>
      </c>
    </row>
    <row r="62" spans="1:2" ht="22.5" customHeight="1" x14ac:dyDescent="0.2">
      <c r="A62" s="27">
        <v>35735</v>
      </c>
      <c r="B62" s="28">
        <v>8.2608171809376216</v>
      </c>
    </row>
    <row r="63" spans="1:2" ht="22.5" customHeight="1" x14ac:dyDescent="0.2">
      <c r="A63" s="27">
        <v>35765</v>
      </c>
      <c r="B63" s="28">
        <v>8.2065787314549006</v>
      </c>
    </row>
    <row r="64" spans="1:2" ht="22.5" customHeight="1" x14ac:dyDescent="0.2">
      <c r="A64" s="27">
        <v>35796</v>
      </c>
      <c r="B64" s="28">
        <v>8.1026217032796879</v>
      </c>
    </row>
    <row r="65" spans="1:2" ht="22.5" customHeight="1" x14ac:dyDescent="0.2">
      <c r="A65" s="27">
        <v>35827</v>
      </c>
      <c r="B65" s="28">
        <v>8.1312475516177898</v>
      </c>
    </row>
    <row r="66" spans="1:2" ht="22.5" customHeight="1" x14ac:dyDescent="0.2">
      <c r="A66" s="27">
        <v>35855</v>
      </c>
      <c r="B66" s="28">
        <v>8.1101548212633983</v>
      </c>
    </row>
    <row r="67" spans="1:2" ht="22.5" customHeight="1" x14ac:dyDescent="0.2">
      <c r="A67" s="27">
        <v>35886</v>
      </c>
      <c r="B67" s="28">
        <v>8.1169346274487388</v>
      </c>
    </row>
    <row r="68" spans="1:2" ht="22.5" customHeight="1" x14ac:dyDescent="0.2">
      <c r="A68" s="27">
        <v>35916</v>
      </c>
      <c r="B68" s="28">
        <v>8.100361767884575</v>
      </c>
    </row>
    <row r="69" spans="1:2" ht="22.5" customHeight="1" x14ac:dyDescent="0.2">
      <c r="A69" s="27">
        <v>35947</v>
      </c>
      <c r="B69" s="28">
        <v>8.100361767884575</v>
      </c>
    </row>
    <row r="70" spans="1:2" ht="22.5" customHeight="1" x14ac:dyDescent="0.2">
      <c r="A70" s="27">
        <v>35977</v>
      </c>
      <c r="B70" s="28">
        <v>8.0762557903366989</v>
      </c>
    </row>
    <row r="71" spans="1:2" ht="22.5" customHeight="1" x14ac:dyDescent="0.2">
      <c r="A71" s="27">
        <v>36008</v>
      </c>
      <c r="B71" s="28">
        <v>8.0250305880474642</v>
      </c>
    </row>
    <row r="72" spans="1:2" ht="22.5" customHeight="1" x14ac:dyDescent="0.2">
      <c r="A72" s="27">
        <v>36039</v>
      </c>
      <c r="B72" s="28">
        <v>7.9406596666298981</v>
      </c>
    </row>
    <row r="73" spans="1:2" ht="22.5" customHeight="1" x14ac:dyDescent="0.2">
      <c r="A73" s="27">
        <v>36069</v>
      </c>
      <c r="B73" s="28">
        <v>7.8547821216155915</v>
      </c>
    </row>
    <row r="74" spans="1:2" ht="22.5" customHeight="1" x14ac:dyDescent="0.2">
      <c r="A74" s="27">
        <v>36100</v>
      </c>
      <c r="B74" s="28">
        <v>7.7817108771735937</v>
      </c>
    </row>
    <row r="75" spans="1:2" ht="22.5" customHeight="1" x14ac:dyDescent="0.2">
      <c r="A75" s="27">
        <v>36130</v>
      </c>
      <c r="B75" s="28">
        <v>7.6928200849658026</v>
      </c>
    </row>
    <row r="76" spans="1:2" ht="22.5" customHeight="1" x14ac:dyDescent="0.2">
      <c r="A76" s="27">
        <v>36161</v>
      </c>
      <c r="B76" s="28">
        <v>7.6581677422407308</v>
      </c>
    </row>
    <row r="77" spans="1:2" ht="22.5" customHeight="1" x14ac:dyDescent="0.2">
      <c r="A77" s="27">
        <v>36192</v>
      </c>
      <c r="B77" s="28">
        <v>7.5948895511775572</v>
      </c>
    </row>
    <row r="78" spans="1:2" ht="22.5" customHeight="1" x14ac:dyDescent="0.2">
      <c r="A78" s="27">
        <v>36220</v>
      </c>
      <c r="B78" s="28">
        <v>7.6107090989433512</v>
      </c>
    </row>
    <row r="79" spans="1:2" ht="22.5" customHeight="1" x14ac:dyDescent="0.2">
      <c r="A79" s="27">
        <v>36251</v>
      </c>
      <c r="B79" s="28">
        <v>7.6845336551837207</v>
      </c>
    </row>
    <row r="80" spans="1:2" ht="22.5" customHeight="1" x14ac:dyDescent="0.2">
      <c r="A80" s="27">
        <v>36281</v>
      </c>
      <c r="B80" s="28">
        <v>7.6815204079902362</v>
      </c>
    </row>
    <row r="81" spans="1:2" ht="22.5" customHeight="1" x14ac:dyDescent="0.2">
      <c r="A81" s="27">
        <v>36312</v>
      </c>
      <c r="B81" s="28">
        <v>7.6747406018048956</v>
      </c>
    </row>
    <row r="82" spans="1:2" ht="22.5" customHeight="1" x14ac:dyDescent="0.2">
      <c r="A82" s="27">
        <v>36342</v>
      </c>
      <c r="B82" s="28">
        <v>7.6890535259739465</v>
      </c>
    </row>
    <row r="83" spans="1:2" ht="22.5" customHeight="1" x14ac:dyDescent="0.2">
      <c r="A83" s="27">
        <v>36373</v>
      </c>
      <c r="B83" s="28">
        <v>7.7086396327315958</v>
      </c>
    </row>
    <row r="84" spans="1:2" ht="22.5" customHeight="1" x14ac:dyDescent="0.2">
      <c r="A84" s="27">
        <v>36404</v>
      </c>
      <c r="B84" s="28">
        <v>7.7734244473915117</v>
      </c>
    </row>
    <row r="85" spans="1:2" ht="22.5" customHeight="1" x14ac:dyDescent="0.2">
      <c r="A85" s="27">
        <v>36434</v>
      </c>
      <c r="B85" s="28">
        <v>7.7643847058110582</v>
      </c>
    </row>
    <row r="86" spans="1:2" ht="22.5" customHeight="1" x14ac:dyDescent="0.2">
      <c r="A86" s="27">
        <v>36465</v>
      </c>
      <c r="B86" s="28">
        <v>7.7478118462468935</v>
      </c>
    </row>
    <row r="87" spans="1:2" ht="22.5" customHeight="1" x14ac:dyDescent="0.2">
      <c r="A87" s="27">
        <v>36495</v>
      </c>
      <c r="B87" s="28">
        <v>7.7854774361654489</v>
      </c>
    </row>
    <row r="88" spans="1:2" ht="22.5" customHeight="1" x14ac:dyDescent="0.2">
      <c r="A88" s="27">
        <v>36526</v>
      </c>
      <c r="B88" s="28">
        <v>7.8788880991634676</v>
      </c>
    </row>
    <row r="89" spans="1:2" ht="22.5" customHeight="1" x14ac:dyDescent="0.2">
      <c r="A89" s="27">
        <v>36557</v>
      </c>
      <c r="B89" s="28">
        <v>7.9474394728152387</v>
      </c>
    </row>
    <row r="90" spans="1:2" ht="22.5" customHeight="1" x14ac:dyDescent="0.2">
      <c r="A90" s="27">
        <v>36586</v>
      </c>
      <c r="B90" s="28">
        <v>7.9881183099272794</v>
      </c>
    </row>
    <row r="91" spans="1:2" ht="22.5" customHeight="1" x14ac:dyDescent="0.2">
      <c r="A91" s="27">
        <v>36617</v>
      </c>
      <c r="B91" s="28">
        <v>7.8909410879374056</v>
      </c>
    </row>
    <row r="92" spans="1:2" ht="22.5" customHeight="1" x14ac:dyDescent="0.2">
      <c r="A92" s="27">
        <v>36647</v>
      </c>
      <c r="B92" s="28">
        <v>7.9738053857582276</v>
      </c>
    </row>
    <row r="93" spans="1:2" ht="22.5" customHeight="1" x14ac:dyDescent="0.2">
      <c r="A93" s="27">
        <v>36678</v>
      </c>
      <c r="B93" s="28">
        <v>8.0159908464670089</v>
      </c>
    </row>
    <row r="94" spans="1:2" ht="22.5" customHeight="1" x14ac:dyDescent="0.2">
      <c r="A94" s="27">
        <v>36708</v>
      </c>
      <c r="B94" s="28">
        <v>8.0046911694914442</v>
      </c>
    </row>
    <row r="95" spans="1:2" ht="22.5" customHeight="1" x14ac:dyDescent="0.2">
      <c r="A95" s="27">
        <v>36739</v>
      </c>
      <c r="B95" s="28">
        <v>8.0190040936604952</v>
      </c>
    </row>
    <row r="96" spans="1:2" ht="22.5" customHeight="1" x14ac:dyDescent="0.2">
      <c r="A96" s="27">
        <v>36770</v>
      </c>
      <c r="B96" s="28">
        <v>8.1161813156503673</v>
      </c>
    </row>
    <row r="97" spans="1:2" ht="22.5" customHeight="1" x14ac:dyDescent="0.2">
      <c r="A97" s="27">
        <v>36800</v>
      </c>
      <c r="B97" s="28">
        <v>8.1327541752145311</v>
      </c>
    </row>
    <row r="98" spans="1:2" ht="22.5" customHeight="1" x14ac:dyDescent="0.2">
      <c r="A98" s="27">
        <v>36831</v>
      </c>
      <c r="B98" s="28">
        <v>8.1229611218357078</v>
      </c>
    </row>
    <row r="99" spans="1:2" ht="22.5" customHeight="1" x14ac:dyDescent="0.2">
      <c r="A99" s="27">
        <v>36861</v>
      </c>
      <c r="B99" s="28">
        <v>7.9722987621614854</v>
      </c>
    </row>
    <row r="100" spans="1:2" ht="22.5" customHeight="1" x14ac:dyDescent="0.2">
      <c r="A100" s="27">
        <v>36892</v>
      </c>
      <c r="B100" s="28">
        <v>7.9753120093549699</v>
      </c>
    </row>
    <row r="101" spans="1:2" ht="22.5" customHeight="1" x14ac:dyDescent="0.2">
      <c r="A101" s="27">
        <v>36923</v>
      </c>
      <c r="B101" s="28">
        <v>7.9843517509354225</v>
      </c>
    </row>
    <row r="102" spans="1:2" ht="22.5" customHeight="1" x14ac:dyDescent="0.2">
      <c r="A102" s="27">
        <v>36951</v>
      </c>
      <c r="B102" s="28">
        <v>7.9316199250494455</v>
      </c>
    </row>
    <row r="103" spans="1:2" ht="22.5" customHeight="1" x14ac:dyDescent="0.2">
      <c r="A103" s="27">
        <v>36982</v>
      </c>
      <c r="B103" s="28">
        <v>7.9165536890820229</v>
      </c>
    </row>
    <row r="104" spans="1:2" ht="22.5" customHeight="1" x14ac:dyDescent="0.2">
      <c r="A104" s="27">
        <v>37012</v>
      </c>
      <c r="B104" s="28">
        <v>7.922580183468992</v>
      </c>
    </row>
    <row r="105" spans="1:2" ht="22.5" customHeight="1" x14ac:dyDescent="0.2">
      <c r="A105" s="27">
        <v>37043</v>
      </c>
      <c r="B105" s="28">
        <v>7.8871745289455495</v>
      </c>
    </row>
    <row r="106" spans="1:2" ht="22.5" customHeight="1" x14ac:dyDescent="0.2">
      <c r="A106" s="27">
        <v>37073</v>
      </c>
      <c r="B106" s="28">
        <v>7.8593019924058183</v>
      </c>
    </row>
    <row r="107" spans="1:2" ht="22.5" customHeight="1" x14ac:dyDescent="0.2">
      <c r="A107" s="27">
        <v>37104</v>
      </c>
      <c r="B107" s="28">
        <v>7.8208830906888913</v>
      </c>
    </row>
    <row r="108" spans="1:2" ht="22.5" customHeight="1" x14ac:dyDescent="0.2">
      <c r="A108" s="27">
        <v>37135</v>
      </c>
      <c r="B108" s="28">
        <v>7.786984059762192</v>
      </c>
    </row>
    <row r="109" spans="1:2" ht="22.5" customHeight="1" x14ac:dyDescent="0.2">
      <c r="A109" s="27">
        <v>37165</v>
      </c>
      <c r="B109" s="28">
        <v>7.6702207310146688</v>
      </c>
    </row>
    <row r="110" spans="1:2" ht="22.5" customHeight="1" x14ac:dyDescent="0.2">
      <c r="A110" s="27">
        <v>37196</v>
      </c>
      <c r="B110" s="28">
        <v>7.5632504556459716</v>
      </c>
    </row>
    <row r="111" spans="1:2" ht="22.5" customHeight="1" x14ac:dyDescent="0.2">
      <c r="A111" s="27">
        <v>37226</v>
      </c>
      <c r="B111" s="28">
        <v>7.5496908432752914</v>
      </c>
    </row>
    <row r="112" spans="1:2" ht="22.5" customHeight="1" x14ac:dyDescent="0.2">
      <c r="A112" s="27">
        <v>37257</v>
      </c>
      <c r="B112" s="28">
        <v>8.0303037706360598</v>
      </c>
    </row>
    <row r="113" spans="1:2" ht="22.5" customHeight="1" x14ac:dyDescent="0.2">
      <c r="A113" s="27">
        <v>37288</v>
      </c>
      <c r="B113" s="28">
        <v>9.0201554736957021</v>
      </c>
    </row>
    <row r="114" spans="1:2" ht="22.5" customHeight="1" x14ac:dyDescent="0.2">
      <c r="A114" s="27">
        <v>37316</v>
      </c>
      <c r="B114" s="28">
        <v>10.154643042042599</v>
      </c>
    </row>
    <row r="115" spans="1:2" ht="22.5" customHeight="1" x14ac:dyDescent="0.2">
      <c r="A115" s="27">
        <v>37347</v>
      </c>
      <c r="B115" s="28">
        <v>12.176531908870665</v>
      </c>
    </row>
    <row r="116" spans="1:2" ht="22.5" customHeight="1" x14ac:dyDescent="0.2">
      <c r="A116" s="27">
        <v>37377</v>
      </c>
      <c r="B116" s="28">
        <v>13.677882323024292</v>
      </c>
    </row>
    <row r="117" spans="1:2" ht="22.5" customHeight="1" x14ac:dyDescent="0.2">
      <c r="A117" s="27">
        <v>37408</v>
      </c>
      <c r="B117" s="28">
        <v>14.84626892229789</v>
      </c>
    </row>
    <row r="118" spans="1:2" ht="22.5" customHeight="1" x14ac:dyDescent="0.2">
      <c r="A118" s="27">
        <v>37438</v>
      </c>
      <c r="B118" s="28">
        <v>15.536302529605829</v>
      </c>
    </row>
    <row r="119" spans="1:2" ht="22.5" customHeight="1" x14ac:dyDescent="0.2">
      <c r="A119" s="27">
        <v>37469</v>
      </c>
      <c r="B119" s="28">
        <v>16.319746799911783</v>
      </c>
    </row>
    <row r="120" spans="1:2" ht="22.5" customHeight="1" x14ac:dyDescent="0.2">
      <c r="A120" s="27">
        <v>37500</v>
      </c>
      <c r="B120" s="28">
        <v>16.717495429451731</v>
      </c>
    </row>
    <row r="121" spans="1:2" ht="22.5" customHeight="1" x14ac:dyDescent="0.2">
      <c r="A121" s="27">
        <v>37530</v>
      </c>
      <c r="B121" s="28">
        <v>16.800359727272557</v>
      </c>
    </row>
    <row r="122" spans="1:2" ht="22.5" customHeight="1" x14ac:dyDescent="0.2">
      <c r="A122" s="27">
        <v>37561</v>
      </c>
      <c r="B122" s="28">
        <v>16.521634361875243</v>
      </c>
    </row>
    <row r="123" spans="1:2" ht="22.5" customHeight="1" x14ac:dyDescent="0.2">
      <c r="A123" s="27">
        <v>37591</v>
      </c>
      <c r="B123" s="28">
        <v>16.455342923618584</v>
      </c>
    </row>
    <row r="124" spans="1:2" ht="22.5" customHeight="1" x14ac:dyDescent="0.2">
      <c r="A124" s="27">
        <v>37622</v>
      </c>
      <c r="B124" s="28">
        <v>16.52464760906873</v>
      </c>
    </row>
    <row r="125" spans="1:2" ht="22.5" customHeight="1" x14ac:dyDescent="0.2">
      <c r="A125" s="27">
        <v>37653</v>
      </c>
      <c r="B125" s="28">
        <v>16.588679111930272</v>
      </c>
    </row>
    <row r="126" spans="1:2" ht="22.5" customHeight="1" x14ac:dyDescent="0.2">
      <c r="A126" s="27">
        <v>37681</v>
      </c>
      <c r="B126" s="28">
        <v>16.474929030376234</v>
      </c>
    </row>
    <row r="127" spans="1:2" ht="22.5" customHeight="1" x14ac:dyDescent="0.2">
      <c r="A127" s="27">
        <v>37712</v>
      </c>
      <c r="B127" s="28">
        <v>16.173604311027788</v>
      </c>
    </row>
    <row r="128" spans="1:2" ht="22.5" customHeight="1" x14ac:dyDescent="0.2">
      <c r="A128" s="27">
        <v>37742</v>
      </c>
      <c r="B128" s="28">
        <v>16.070400594650948</v>
      </c>
    </row>
    <row r="129" spans="1:2" ht="22.5" customHeight="1" x14ac:dyDescent="0.2">
      <c r="A129" s="27">
        <v>37773</v>
      </c>
      <c r="B129" s="28">
        <v>16.048554552498185</v>
      </c>
    </row>
    <row r="130" spans="1:2" ht="22.5" customHeight="1" x14ac:dyDescent="0.2">
      <c r="A130" s="27">
        <v>37803</v>
      </c>
      <c r="B130" s="28">
        <v>16.042528058111216</v>
      </c>
    </row>
    <row r="131" spans="1:2" ht="22.5" customHeight="1" x14ac:dyDescent="0.2">
      <c r="A131" s="27">
        <v>37834</v>
      </c>
      <c r="B131" s="28">
        <v>16.26174179143721</v>
      </c>
    </row>
    <row r="132" spans="1:2" ht="22.5" customHeight="1" x14ac:dyDescent="0.2">
      <c r="A132" s="29">
        <v>37865</v>
      </c>
      <c r="B132" s="28">
        <v>16.233869254897478</v>
      </c>
    </row>
    <row r="133" spans="1:2" ht="22.5" customHeight="1" x14ac:dyDescent="0.2">
      <c r="A133" s="29">
        <v>37895</v>
      </c>
      <c r="B133" s="28">
        <v>16.320500111710157</v>
      </c>
    </row>
    <row r="134" spans="1:2" ht="22.5" customHeight="1" x14ac:dyDescent="0.2">
      <c r="A134" s="29">
        <v>37926</v>
      </c>
      <c r="B134" s="28">
        <v>16.489995266343655</v>
      </c>
    </row>
    <row r="135" spans="1:2" ht="22.5" customHeight="1" x14ac:dyDescent="0.2">
      <c r="A135" s="29">
        <v>37956</v>
      </c>
      <c r="B135" s="28">
        <v>16.777007061523051</v>
      </c>
    </row>
    <row r="136" spans="1:2" ht="22.5" customHeight="1" x14ac:dyDescent="0.2">
      <c r="A136" s="29">
        <v>37987</v>
      </c>
      <c r="B136" s="28">
        <v>16.720508676645217</v>
      </c>
    </row>
    <row r="137" spans="1:2" ht="22.5" customHeight="1" x14ac:dyDescent="0.2">
      <c r="A137" s="29">
        <v>38018</v>
      </c>
      <c r="B137" s="28">
        <v>16.953282022341892</v>
      </c>
    </row>
    <row r="138" spans="1:2" ht="22.5" customHeight="1" x14ac:dyDescent="0.2">
      <c r="A138" s="29">
        <v>38047</v>
      </c>
      <c r="B138" s="28">
        <v>17.027106578582259</v>
      </c>
    </row>
    <row r="139" spans="1:2" ht="22.5" customHeight="1" x14ac:dyDescent="0.2">
      <c r="A139" s="29">
        <v>38078</v>
      </c>
      <c r="B139" s="28">
        <v>17.16345601408743</v>
      </c>
    </row>
    <row r="140" spans="1:2" ht="22.5" customHeight="1" x14ac:dyDescent="0.2">
      <c r="A140" s="29">
        <v>38108</v>
      </c>
      <c r="B140" s="28">
        <v>17.384176371010167</v>
      </c>
    </row>
    <row r="141" spans="1:2" ht="22.5" customHeight="1" x14ac:dyDescent="0.2">
      <c r="A141" s="29">
        <v>38139</v>
      </c>
      <c r="B141" s="28">
        <v>17.423348584525463</v>
      </c>
    </row>
    <row r="142" spans="1:2" ht="22.5" customHeight="1" x14ac:dyDescent="0.2">
      <c r="A142" s="29">
        <v>38169</v>
      </c>
      <c r="B142" s="28">
        <v>17.58305068578014</v>
      </c>
    </row>
    <row r="143" spans="1:2" ht="22.5" customHeight="1" x14ac:dyDescent="0.2">
      <c r="A143" s="29">
        <v>38200</v>
      </c>
      <c r="B143" s="28">
        <v>18.00867185185982</v>
      </c>
    </row>
    <row r="144" spans="1:2" ht="22.5" customHeight="1" x14ac:dyDescent="0.2">
      <c r="A144" s="29">
        <v>38231</v>
      </c>
      <c r="B144" s="28">
        <v>18.050857312568603</v>
      </c>
    </row>
    <row r="145" spans="1:2" ht="22.5" customHeight="1" x14ac:dyDescent="0.2">
      <c r="A145" s="29">
        <v>38261</v>
      </c>
      <c r="B145" s="28">
        <v>18.156320964340559</v>
      </c>
    </row>
    <row r="146" spans="1:2" ht="22.5" customHeight="1" x14ac:dyDescent="0.2">
      <c r="A146" s="29">
        <v>38292</v>
      </c>
      <c r="B146" s="28">
        <v>17.940120478208048</v>
      </c>
    </row>
    <row r="147" spans="1:2" ht="22.5" customHeight="1" x14ac:dyDescent="0.2">
      <c r="A147" s="29">
        <v>38322</v>
      </c>
      <c r="B147" s="28">
        <v>18.096809332269238</v>
      </c>
    </row>
    <row r="148" spans="1:2" ht="22.5" customHeight="1" x14ac:dyDescent="0.2">
      <c r="A148" s="29">
        <v>38353</v>
      </c>
      <c r="B148" s="28">
        <v>17.923547618643884</v>
      </c>
    </row>
    <row r="149" spans="1:2" ht="22.5" customHeight="1" x14ac:dyDescent="0.2">
      <c r="A149" s="29">
        <v>38384</v>
      </c>
      <c r="B149" s="28">
        <v>18.114135503631775</v>
      </c>
    </row>
    <row r="150" spans="1:2" ht="22.5" customHeight="1" x14ac:dyDescent="0.2">
      <c r="A150" s="29">
        <v>38412</v>
      </c>
      <c r="B150" s="28">
        <v>18.471205296059683</v>
      </c>
    </row>
    <row r="151" spans="1:2" ht="22.5" customHeight="1" x14ac:dyDescent="0.2">
      <c r="A151" s="29">
        <v>38443</v>
      </c>
      <c r="B151" s="28">
        <v>18.740890919876541</v>
      </c>
    </row>
    <row r="152" spans="1:2" ht="22.5" customHeight="1" x14ac:dyDescent="0.2">
      <c r="A152" s="29">
        <v>38473</v>
      </c>
      <c r="B152" s="28">
        <v>18.72733130750586</v>
      </c>
    </row>
    <row r="153" spans="1:2" ht="22.5" customHeight="1" x14ac:dyDescent="0.2">
      <c r="A153" s="29">
        <v>38504</v>
      </c>
      <c r="B153" s="28">
        <v>18.771776703609756</v>
      </c>
    </row>
    <row r="154" spans="1:2" ht="22.5" customHeight="1" x14ac:dyDescent="0.2">
      <c r="A154" s="29">
        <v>38534</v>
      </c>
      <c r="B154" s="28">
        <v>19.006809984701544</v>
      </c>
    </row>
    <row r="155" spans="1:2" ht="22.5" customHeight="1" x14ac:dyDescent="0.2">
      <c r="A155" s="29">
        <v>38565</v>
      </c>
      <c r="B155" s="28">
        <v>19.244103201188445</v>
      </c>
    </row>
    <row r="156" spans="1:2" ht="22.5" customHeight="1" x14ac:dyDescent="0.2">
      <c r="A156" s="29">
        <v>38596</v>
      </c>
      <c r="B156" s="28">
        <v>19.607952799801694</v>
      </c>
    </row>
    <row r="157" spans="1:2" ht="22.5" customHeight="1" x14ac:dyDescent="0.2">
      <c r="A157" s="29">
        <v>38626</v>
      </c>
      <c r="B157" s="28">
        <v>19.828673156724431</v>
      </c>
    </row>
    <row r="158" spans="1:2" ht="22.5" customHeight="1" x14ac:dyDescent="0.2">
      <c r="A158" s="29">
        <v>38657</v>
      </c>
      <c r="B158" s="28">
        <v>19.844492704490222</v>
      </c>
    </row>
    <row r="159" spans="1:2" ht="22.5" customHeight="1" x14ac:dyDescent="0.2">
      <c r="A159" s="29">
        <v>38687</v>
      </c>
      <c r="B159" s="30">
        <v>20.022274288905805</v>
      </c>
    </row>
    <row r="160" spans="1:2" ht="22.5" customHeight="1" x14ac:dyDescent="0.2">
      <c r="A160" s="29">
        <v>38718</v>
      </c>
      <c r="B160" s="30">
        <v>20.294219848117773</v>
      </c>
    </row>
    <row r="161" spans="1:2" ht="22.5" customHeight="1" x14ac:dyDescent="0.2">
      <c r="A161" s="29">
        <v>38749</v>
      </c>
      <c r="B161" s="28">
        <v>20.61513067422387</v>
      </c>
    </row>
    <row r="162" spans="1:2" ht="22.5" customHeight="1" x14ac:dyDescent="0.2">
      <c r="A162" s="29">
        <v>38777</v>
      </c>
      <c r="B162" s="28">
        <v>20.487067668500778</v>
      </c>
    </row>
    <row r="163" spans="1:2" ht="22.5" customHeight="1" x14ac:dyDescent="0.2">
      <c r="A163" s="29">
        <v>38808</v>
      </c>
      <c r="B163" s="28">
        <v>20.783872517058995</v>
      </c>
    </row>
    <row r="164" spans="1:2" ht="22.5" customHeight="1" x14ac:dyDescent="0.2">
      <c r="A164" s="29">
        <v>38838</v>
      </c>
      <c r="B164" s="28">
        <v>20.866736814879822</v>
      </c>
    </row>
    <row r="165" spans="1:2" ht="22.5" customHeight="1" x14ac:dyDescent="0.2">
      <c r="A165" s="29">
        <v>38869</v>
      </c>
      <c r="B165" s="28">
        <v>21.034725345916581</v>
      </c>
    </row>
    <row r="166" spans="1:2" ht="22.5" customHeight="1" x14ac:dyDescent="0.2">
      <c r="A166" s="29">
        <v>38899</v>
      </c>
      <c r="B166" s="28">
        <v>21.184634393792432</v>
      </c>
    </row>
    <row r="167" spans="1:2" ht="22.5" customHeight="1" x14ac:dyDescent="0.2">
      <c r="A167" s="29">
        <v>38930</v>
      </c>
      <c r="B167" s="28">
        <v>21.320983829297599</v>
      </c>
    </row>
    <row r="168" spans="1:2" ht="22.5" customHeight="1" x14ac:dyDescent="0.2">
      <c r="A168" s="29">
        <v>38961</v>
      </c>
      <c r="B168" s="28">
        <v>21.265238756218142</v>
      </c>
    </row>
    <row r="169" spans="1:2" ht="22.5" customHeight="1" x14ac:dyDescent="0.2">
      <c r="A169" s="29">
        <v>38991</v>
      </c>
      <c r="B169" s="28">
        <v>21.353376236627557</v>
      </c>
    </row>
    <row r="170" spans="1:2" ht="22.5" customHeight="1" x14ac:dyDescent="0.2">
      <c r="A170" s="29">
        <v>39022</v>
      </c>
      <c r="B170" s="28">
        <v>21.373715655183581</v>
      </c>
    </row>
    <row r="171" spans="1:2" ht="22.5" customHeight="1" x14ac:dyDescent="0.2">
      <c r="A171" s="29">
        <v>39052</v>
      </c>
      <c r="B171" s="28">
        <v>21.458086576601147</v>
      </c>
    </row>
    <row r="172" spans="1:2" ht="22.5" customHeight="1" x14ac:dyDescent="0.2">
      <c r="A172" s="29">
        <v>39083</v>
      </c>
      <c r="B172" s="28">
        <v>21.533417756438258</v>
      </c>
    </row>
    <row r="173" spans="1:2" ht="22.5" customHeight="1" x14ac:dyDescent="0.2">
      <c r="A173" s="29">
        <v>39114</v>
      </c>
      <c r="B173" s="28">
        <v>21.711952652652212</v>
      </c>
    </row>
    <row r="174" spans="1:2" ht="22.5" customHeight="1" x14ac:dyDescent="0.2">
      <c r="A174" s="29">
        <v>39142</v>
      </c>
      <c r="B174" s="28">
        <v>21.847548776359009</v>
      </c>
    </row>
    <row r="175" spans="1:2" ht="22.5" customHeight="1" x14ac:dyDescent="0.2">
      <c r="A175" s="29">
        <v>39173</v>
      </c>
      <c r="B175" s="28">
        <v>22.225711299141309</v>
      </c>
    </row>
    <row r="176" spans="1:2" ht="22.5" customHeight="1" x14ac:dyDescent="0.2">
      <c r="A176" s="29">
        <v>39203</v>
      </c>
      <c r="B176" s="28">
        <v>22.570728102795279</v>
      </c>
    </row>
    <row r="177" spans="1:2" ht="22.5" customHeight="1" x14ac:dyDescent="0.2">
      <c r="A177" s="29">
        <v>39234</v>
      </c>
      <c r="B177" s="28">
        <v>23.009908881245636</v>
      </c>
    </row>
    <row r="178" spans="1:2" ht="22.5" customHeight="1" x14ac:dyDescent="0.2">
      <c r="A178" s="29">
        <v>39264</v>
      </c>
      <c r="B178" s="28">
        <v>23.531953957516816</v>
      </c>
    </row>
    <row r="179" spans="1:2" ht="22.5" customHeight="1" x14ac:dyDescent="0.2">
      <c r="A179" s="29">
        <v>39295</v>
      </c>
      <c r="B179" s="28">
        <v>23.711242165529143</v>
      </c>
    </row>
    <row r="180" spans="1:2" ht="22.5" customHeight="1" x14ac:dyDescent="0.2">
      <c r="A180" s="29">
        <v>39326</v>
      </c>
      <c r="B180" s="28">
        <v>23.954561876403012</v>
      </c>
    </row>
    <row r="181" spans="1:2" ht="22.5" customHeight="1" x14ac:dyDescent="0.2">
      <c r="A181" s="29">
        <v>39356</v>
      </c>
      <c r="B181" s="28">
        <v>24.175282233325749</v>
      </c>
    </row>
    <row r="182" spans="1:2" ht="22.5" customHeight="1" x14ac:dyDescent="0.2">
      <c r="A182" s="29">
        <v>39387</v>
      </c>
      <c r="B182" s="28">
        <v>24.42839499757844</v>
      </c>
    </row>
    <row r="183" spans="1:2" ht="22.5" customHeight="1" x14ac:dyDescent="0.2">
      <c r="A183" s="29">
        <v>39417</v>
      </c>
      <c r="B183" s="28">
        <v>24.582070604446148</v>
      </c>
    </row>
    <row r="184" spans="1:2" ht="22.5" customHeight="1" x14ac:dyDescent="0.2">
      <c r="A184" s="29">
        <v>39448</v>
      </c>
      <c r="B184" s="28">
        <v>24.776425048425892</v>
      </c>
    </row>
    <row r="185" spans="1:2" ht="22.5" customHeight="1" x14ac:dyDescent="0.2">
      <c r="A185" s="29">
        <v>39479</v>
      </c>
      <c r="B185" s="28">
        <v>25.006185146929084</v>
      </c>
    </row>
    <row r="186" spans="1:2" ht="22.5" customHeight="1" x14ac:dyDescent="0.2">
      <c r="A186" s="29">
        <v>39508</v>
      </c>
      <c r="B186" s="28">
        <v>25.285663824124772</v>
      </c>
    </row>
    <row r="187" spans="1:2" ht="22.5" customHeight="1" x14ac:dyDescent="0.2">
      <c r="A187" s="29">
        <v>39539</v>
      </c>
      <c r="B187" s="28">
        <v>25.59753490865041</v>
      </c>
    </row>
    <row r="188" spans="1:2" ht="22.5" customHeight="1" x14ac:dyDescent="0.2">
      <c r="A188" s="29">
        <v>39569</v>
      </c>
      <c r="B188" s="28">
        <v>25.870987091459124</v>
      </c>
    </row>
    <row r="189" spans="1:2" ht="22.5" customHeight="1" x14ac:dyDescent="0.2">
      <c r="A189" s="29">
        <v>39600</v>
      </c>
      <c r="B189" s="28">
        <v>26.180598240589653</v>
      </c>
    </row>
    <row r="190" spans="1:2" ht="22.5" customHeight="1" x14ac:dyDescent="0.2">
      <c r="A190" s="29">
        <v>39630</v>
      </c>
      <c r="B190" s="28">
        <v>26.378719243561253</v>
      </c>
    </row>
    <row r="191" spans="1:2" ht="22.5" customHeight="1" x14ac:dyDescent="0.2">
      <c r="A191" s="29">
        <v>39661</v>
      </c>
      <c r="B191" s="28">
        <v>26.598686288685617</v>
      </c>
    </row>
    <row r="192" spans="1:2" ht="22.5" customHeight="1" x14ac:dyDescent="0.2">
      <c r="A192" s="29">
        <v>39692</v>
      </c>
      <c r="B192" s="28">
        <v>26.747088712964725</v>
      </c>
    </row>
    <row r="193" spans="1:2" ht="22.5" customHeight="1" x14ac:dyDescent="0.2">
      <c r="A193" s="29">
        <v>39722</v>
      </c>
      <c r="B193" s="28">
        <v>26.894737825445464</v>
      </c>
    </row>
    <row r="194" spans="1:2" ht="22.5" customHeight="1" x14ac:dyDescent="0.2">
      <c r="A194" s="29">
        <v>39753</v>
      </c>
      <c r="B194" s="28">
        <v>26.820159957406723</v>
      </c>
    </row>
    <row r="195" spans="1:2" ht="22.5" customHeight="1" x14ac:dyDescent="0.2">
      <c r="A195" s="29">
        <v>39783</v>
      </c>
      <c r="B195" s="28">
        <v>26.750101960158212</v>
      </c>
    </row>
    <row r="196" spans="1:2" ht="22.5" customHeight="1" x14ac:dyDescent="0.2">
      <c r="A196" s="29">
        <v>39814</v>
      </c>
      <c r="B196" s="28">
        <v>26.728255918005448</v>
      </c>
    </row>
    <row r="197" spans="1:2" ht="22.5" customHeight="1" x14ac:dyDescent="0.2">
      <c r="A197" s="29">
        <v>39845</v>
      </c>
      <c r="B197" s="28">
        <v>26.765921507924006</v>
      </c>
    </row>
    <row r="198" spans="1:2" ht="22.5" customHeight="1" x14ac:dyDescent="0.2">
      <c r="A198" s="29">
        <v>39873</v>
      </c>
      <c r="B198" s="28">
        <v>27.072519409861048</v>
      </c>
    </row>
    <row r="199" spans="1:2" ht="22.5" customHeight="1" x14ac:dyDescent="0.2">
      <c r="A199" s="29">
        <v>39904</v>
      </c>
      <c r="B199" s="28">
        <v>27.200582415584137</v>
      </c>
    </row>
    <row r="200" spans="1:2" ht="22.5" customHeight="1" x14ac:dyDescent="0.2">
      <c r="A200" s="29">
        <v>39934</v>
      </c>
      <c r="B200" s="28">
        <v>27.330152044903969</v>
      </c>
    </row>
    <row r="201" spans="1:2" ht="22.5" customHeight="1" x14ac:dyDescent="0.2">
      <c r="A201" s="29">
        <v>39965</v>
      </c>
      <c r="B201" s="28">
        <v>27.639009882236124</v>
      </c>
    </row>
    <row r="202" spans="1:2" ht="22.5" customHeight="1" x14ac:dyDescent="0.2">
      <c r="A202" s="29">
        <v>39995</v>
      </c>
      <c r="B202" s="28">
        <v>27.983273374091723</v>
      </c>
    </row>
    <row r="203" spans="1:2" ht="22.5" customHeight="1" x14ac:dyDescent="0.2">
      <c r="A203" s="29">
        <v>40026</v>
      </c>
      <c r="B203" s="28">
        <v>28.274805040061342</v>
      </c>
    </row>
    <row r="204" spans="1:2" ht="22.5" customHeight="1" x14ac:dyDescent="0.2">
      <c r="A204" s="29">
        <v>40057</v>
      </c>
      <c r="B204" s="28">
        <v>28.56407677063585</v>
      </c>
    </row>
    <row r="205" spans="1:2" ht="22.5" customHeight="1" x14ac:dyDescent="0.2">
      <c r="A205" s="29">
        <v>40087</v>
      </c>
      <c r="B205" s="28">
        <v>28.82848921186411</v>
      </c>
    </row>
    <row r="206" spans="1:2" ht="22.5" customHeight="1" x14ac:dyDescent="0.2">
      <c r="A206" s="29">
        <v>40118</v>
      </c>
      <c r="B206" s="28">
        <v>29.132073866607673</v>
      </c>
    </row>
    <row r="207" spans="1:2" ht="22.5" customHeight="1" x14ac:dyDescent="0.2">
      <c r="A207" s="29">
        <v>40148</v>
      </c>
      <c r="B207" s="28">
        <v>29.496676777019289</v>
      </c>
    </row>
    <row r="208" spans="1:2" ht="22.5" customHeight="1" x14ac:dyDescent="0.2">
      <c r="A208" s="29">
        <v>40179</v>
      </c>
      <c r="B208" s="28">
        <v>29.894425406559233</v>
      </c>
    </row>
    <row r="209" spans="1:2" ht="22.5" customHeight="1" x14ac:dyDescent="0.2">
      <c r="A209" s="29">
        <v>40210</v>
      </c>
      <c r="B209" s="28">
        <v>30.353945603565613</v>
      </c>
    </row>
    <row r="210" spans="1:2" ht="22.5" customHeight="1" x14ac:dyDescent="0.2">
      <c r="A210" s="29">
        <v>40238</v>
      </c>
      <c r="B210" s="28">
        <v>30.814972424168737</v>
      </c>
    </row>
    <row r="211" spans="1:2" ht="22.5" customHeight="1" x14ac:dyDescent="0.2">
      <c r="A211" s="29">
        <v>40269</v>
      </c>
      <c r="B211" s="28">
        <v>31.171288904798274</v>
      </c>
    </row>
    <row r="212" spans="1:2" ht="22.5" customHeight="1" x14ac:dyDescent="0.2">
      <c r="A212" s="29">
        <v>40299</v>
      </c>
      <c r="B212" s="28">
        <v>31.547944803983828</v>
      </c>
    </row>
    <row r="213" spans="1:2" ht="22.5" customHeight="1" x14ac:dyDescent="0.2">
      <c r="A213" s="29">
        <v>40330</v>
      </c>
      <c r="B213" s="28">
        <v>31.931380509354724</v>
      </c>
    </row>
    <row r="214" spans="1:2" ht="22.5" customHeight="1" x14ac:dyDescent="0.2">
      <c r="A214" s="29">
        <v>40360</v>
      </c>
      <c r="B214" s="28">
        <v>32.24023834668688</v>
      </c>
    </row>
    <row r="215" spans="1:2" ht="22.5" customHeight="1" x14ac:dyDescent="0.2">
      <c r="A215" s="29">
        <v>40391</v>
      </c>
      <c r="B215" s="28">
        <v>32.561902484591343</v>
      </c>
    </row>
    <row r="216" spans="1:2" ht="22.5" customHeight="1" x14ac:dyDescent="0.2">
      <c r="A216" s="29">
        <v>40422</v>
      </c>
      <c r="B216" s="28">
        <v>32.865487139334903</v>
      </c>
    </row>
    <row r="217" spans="1:2" ht="22.5" customHeight="1" x14ac:dyDescent="0.2">
      <c r="A217" s="29">
        <v>40452</v>
      </c>
      <c r="B217" s="28">
        <v>33.163045299691497</v>
      </c>
    </row>
    <row r="218" spans="1:2" ht="22.5" customHeight="1" x14ac:dyDescent="0.2">
      <c r="A218" s="29">
        <v>40483</v>
      </c>
      <c r="B218" s="28">
        <v>33.475669696015501</v>
      </c>
    </row>
    <row r="219" spans="1:2" ht="22.5" customHeight="1" x14ac:dyDescent="0.2">
      <c r="A219" s="29">
        <v>40513</v>
      </c>
      <c r="B219" s="28">
        <v>33.791307339532999</v>
      </c>
    </row>
    <row r="220" spans="1:2" ht="22.5" customHeight="1" x14ac:dyDescent="0.2">
      <c r="A220" s="29">
        <v>40544</v>
      </c>
      <c r="B220" s="28">
        <v>34.161183432533221</v>
      </c>
    </row>
    <row r="221" spans="1:2" ht="22.5" customHeight="1" x14ac:dyDescent="0.2">
      <c r="A221" s="29">
        <v>40575</v>
      </c>
      <c r="B221" s="28">
        <v>34.479081011445828</v>
      </c>
    </row>
    <row r="222" spans="1:2" ht="22.5" customHeight="1" x14ac:dyDescent="0.2">
      <c r="A222" s="29">
        <v>40603</v>
      </c>
      <c r="B222" s="28">
        <v>34.81053820272912</v>
      </c>
    </row>
    <row r="223" spans="1:2" ht="22.5" customHeight="1" x14ac:dyDescent="0.2">
      <c r="A223" s="29">
        <v>40634</v>
      </c>
      <c r="B223" s="28">
        <v>35.160074877173315</v>
      </c>
    </row>
    <row r="224" spans="1:2" ht="22.5" customHeight="1" x14ac:dyDescent="0.2">
      <c r="A224" s="29">
        <v>40664</v>
      </c>
      <c r="B224" s="28">
        <v>35.521664540391448</v>
      </c>
    </row>
    <row r="225" spans="1:2" ht="22.5" customHeight="1" x14ac:dyDescent="0.2">
      <c r="A225" s="29">
        <v>40695</v>
      </c>
      <c r="B225" s="28">
        <v>35.926946287915108</v>
      </c>
    </row>
    <row r="226" spans="1:2" ht="22.5" customHeight="1" x14ac:dyDescent="0.2">
      <c r="A226" s="29">
        <v>40725</v>
      </c>
      <c r="B226" s="28">
        <v>36.288535951133241</v>
      </c>
    </row>
    <row r="227" spans="1:2" ht="22.5" customHeight="1" x14ac:dyDescent="0.2">
      <c r="A227" s="29">
        <v>40756</v>
      </c>
      <c r="B227" s="28">
        <v>36.656905420536717</v>
      </c>
    </row>
    <row r="228" spans="1:2" ht="22.5" customHeight="1" x14ac:dyDescent="0.2">
      <c r="A228" s="29">
        <v>40787</v>
      </c>
      <c r="B228" s="28">
        <v>37.032808007923897</v>
      </c>
    </row>
    <row r="229" spans="1:2" ht="22.5" customHeight="1" x14ac:dyDescent="0.2">
      <c r="A229" s="29">
        <v>40817</v>
      </c>
      <c r="B229" s="28">
        <v>37.370291693594154</v>
      </c>
    </row>
    <row r="230" spans="1:2" ht="22.5" customHeight="1" x14ac:dyDescent="0.2">
      <c r="A230" s="29">
        <v>40848</v>
      </c>
      <c r="B230" s="28">
        <v>37.726608174223692</v>
      </c>
    </row>
    <row r="231" spans="1:2" ht="22.5" customHeight="1" x14ac:dyDescent="0.2">
      <c r="A231" s="29">
        <v>40878</v>
      </c>
      <c r="B231" s="28">
        <v>38.073884913272778</v>
      </c>
    </row>
    <row r="232" spans="1:2" ht="22.5" customHeight="1" x14ac:dyDescent="0.2">
      <c r="A232" s="29">
        <v>40909</v>
      </c>
      <c r="B232" s="28">
        <v>38.438487823684397</v>
      </c>
    </row>
    <row r="233" spans="1:2" ht="22.5" customHeight="1" x14ac:dyDescent="0.2">
      <c r="A233" s="29">
        <v>40940</v>
      </c>
      <c r="B233" s="28">
        <v>38.818156970063434</v>
      </c>
    </row>
    <row r="234" spans="1:2" ht="22.5" customHeight="1" x14ac:dyDescent="0.2">
      <c r="A234" s="29">
        <v>40969</v>
      </c>
      <c r="B234" s="28">
        <v>39.276923855271441</v>
      </c>
    </row>
    <row r="235" spans="1:2" ht="22.5" customHeight="1" x14ac:dyDescent="0.2">
      <c r="A235" s="29">
        <v>41000</v>
      </c>
      <c r="B235" s="28">
        <v>39.721377816310394</v>
      </c>
    </row>
    <row r="236" spans="1:2" ht="22.5" customHeight="1" x14ac:dyDescent="0.2">
      <c r="A236" s="29">
        <v>41030</v>
      </c>
      <c r="B236" s="28">
        <v>40.126659563834053</v>
      </c>
    </row>
    <row r="237" spans="1:2" ht="22.5" customHeight="1" x14ac:dyDescent="0.2">
      <c r="A237" s="29">
        <v>41061</v>
      </c>
      <c r="B237" s="28">
        <v>40.524408193374008</v>
      </c>
    </row>
    <row r="238" spans="1:2" ht="22.5" customHeight="1" x14ac:dyDescent="0.2">
      <c r="A238" s="29">
        <v>41091</v>
      </c>
      <c r="B238" s="28">
        <v>40.917636952123722</v>
      </c>
    </row>
    <row r="239" spans="1:2" ht="22.5" customHeight="1" x14ac:dyDescent="0.2">
      <c r="A239" s="29">
        <v>41122</v>
      </c>
      <c r="B239" s="28">
        <v>41.340998182808292</v>
      </c>
    </row>
    <row r="240" spans="1:2" ht="22.5" customHeight="1" x14ac:dyDescent="0.2">
      <c r="A240" s="29">
        <v>41153</v>
      </c>
      <c r="B240" s="28">
        <v>41.801271691613039</v>
      </c>
    </row>
    <row r="241" spans="1:2" ht="22.5" customHeight="1" x14ac:dyDescent="0.2">
      <c r="A241" s="29">
        <v>41183</v>
      </c>
      <c r="B241" s="28">
        <v>42.23367266387806</v>
      </c>
    </row>
    <row r="242" spans="1:2" ht="22.5" customHeight="1" x14ac:dyDescent="0.2">
      <c r="A242" s="29">
        <v>41214</v>
      </c>
      <c r="B242" s="28">
        <v>42.657787206360993</v>
      </c>
    </row>
    <row r="243" spans="1:2" ht="22.5" customHeight="1" x14ac:dyDescent="0.2">
      <c r="A243" s="29">
        <v>41244</v>
      </c>
      <c r="B243" s="28">
        <v>43.072108695465111</v>
      </c>
    </row>
    <row r="244" spans="1:2" ht="22.5" customHeight="1" x14ac:dyDescent="0.2">
      <c r="A244" s="29">
        <v>41275</v>
      </c>
      <c r="B244" s="28">
        <v>43.509782850318729</v>
      </c>
    </row>
    <row r="245" spans="1:2" ht="22.5" customHeight="1" x14ac:dyDescent="0.2">
      <c r="A245" s="29">
        <v>41306</v>
      </c>
      <c r="B245" s="28">
        <v>43.969303047325099</v>
      </c>
    </row>
    <row r="246" spans="1:2" ht="22.5" customHeight="1" x14ac:dyDescent="0.2">
      <c r="A246" s="29">
        <v>41334</v>
      </c>
      <c r="B246" s="28">
        <v>44.412250384767312</v>
      </c>
    </row>
    <row r="247" spans="1:2" ht="22.5" customHeight="1" x14ac:dyDescent="0.2">
      <c r="A247" s="29">
        <v>41365</v>
      </c>
      <c r="B247" s="28">
        <v>44.838624862645368</v>
      </c>
    </row>
    <row r="248" spans="1:2" ht="22.5" customHeight="1" x14ac:dyDescent="0.2">
      <c r="A248" s="29">
        <v>41395</v>
      </c>
      <c r="B248" s="28">
        <v>45.402102087826961</v>
      </c>
    </row>
    <row r="249" spans="1:2" ht="22.5" customHeight="1" x14ac:dyDescent="0.2">
      <c r="A249" s="29">
        <v>41426</v>
      </c>
      <c r="B249" s="28">
        <v>46.013037956305929</v>
      </c>
    </row>
    <row r="250" spans="1:2" ht="22.5" customHeight="1" x14ac:dyDescent="0.2">
      <c r="A250" s="29">
        <v>41456</v>
      </c>
      <c r="B250" s="28">
        <v>46.534329720778743</v>
      </c>
    </row>
    <row r="251" spans="1:2" ht="22.5" customHeight="1" x14ac:dyDescent="0.2">
      <c r="A251" s="29">
        <v>41487</v>
      </c>
      <c r="B251" s="28">
        <v>47.060894667840152</v>
      </c>
    </row>
    <row r="252" spans="1:2" ht="22.5" customHeight="1" x14ac:dyDescent="0.2">
      <c r="A252" s="29">
        <v>41518</v>
      </c>
      <c r="B252" s="28">
        <v>47.575406626127617</v>
      </c>
    </row>
    <row r="253" spans="1:2" ht="22.5" customHeight="1" x14ac:dyDescent="0.2">
      <c r="A253" s="29">
        <v>41548</v>
      </c>
      <c r="B253" s="28">
        <v>48.11779112095482</v>
      </c>
    </row>
    <row r="254" spans="1:2" ht="22.5" customHeight="1" x14ac:dyDescent="0.2">
      <c r="A254" s="29">
        <v>41579</v>
      </c>
      <c r="B254" s="28">
        <v>48.703114388289173</v>
      </c>
    </row>
    <row r="255" spans="1:2" ht="22.5" customHeight="1" x14ac:dyDescent="0.2">
      <c r="A255" s="29">
        <v>41609</v>
      </c>
      <c r="B255" s="28">
        <v>49.430060273717295</v>
      </c>
    </row>
    <row r="256" spans="1:2" ht="22.5" customHeight="1" x14ac:dyDescent="0.2">
      <c r="A256" s="29">
        <v>41640</v>
      </c>
      <c r="B256" s="28">
        <v>51.878323618423416</v>
      </c>
    </row>
    <row r="257" spans="1:2" ht="22.5" customHeight="1" x14ac:dyDescent="0.2">
      <c r="A257" s="29">
        <v>41671</v>
      </c>
      <c r="B257" s="28">
        <v>54.535254331278338</v>
      </c>
    </row>
    <row r="258" spans="1:2" ht="22.5" customHeight="1" x14ac:dyDescent="0.2">
      <c r="A258" s="29">
        <v>41699</v>
      </c>
      <c r="B258" s="28">
        <v>55.862589720008231</v>
      </c>
    </row>
    <row r="259" spans="1:2" ht="22.5" customHeight="1" x14ac:dyDescent="0.2">
      <c r="A259" s="29">
        <v>41730</v>
      </c>
      <c r="B259" s="28">
        <v>56.823062262931394</v>
      </c>
    </row>
    <row r="260" spans="1:2" ht="22.5" customHeight="1" x14ac:dyDescent="0.2">
      <c r="A260" s="29">
        <v>41760</v>
      </c>
      <c r="B260" s="28">
        <v>57.884478586836295</v>
      </c>
    </row>
    <row r="261" spans="1:2" ht="22.5" customHeight="1" x14ac:dyDescent="0.2">
      <c r="A261" s="29">
        <v>41791</v>
      </c>
      <c r="B261" s="28">
        <v>58.756060337551681</v>
      </c>
    </row>
    <row r="262" spans="1:2" ht="22.5" customHeight="1" x14ac:dyDescent="0.2">
      <c r="A262" s="29">
        <v>41821</v>
      </c>
      <c r="B262" s="28">
        <v>59.547037725841342</v>
      </c>
    </row>
    <row r="263" spans="1:2" ht="22.5" customHeight="1" x14ac:dyDescent="0.2">
      <c r="A263" s="29">
        <v>41852</v>
      </c>
      <c r="B263" s="28">
        <v>60.518809945740081</v>
      </c>
    </row>
    <row r="264" spans="1:2" ht="22.5" customHeight="1" x14ac:dyDescent="0.2">
      <c r="A264" s="29">
        <v>41883</v>
      </c>
      <c r="B264" s="28">
        <v>61.48380235945347</v>
      </c>
    </row>
    <row r="265" spans="1:2" ht="22.5" customHeight="1" x14ac:dyDescent="0.2">
      <c r="A265" s="29">
        <v>41913</v>
      </c>
      <c r="B265" s="28">
        <v>62.237114157824585</v>
      </c>
    </row>
    <row r="266" spans="1:2" ht="22.5" customHeight="1" x14ac:dyDescent="0.2">
      <c r="A266" s="29">
        <v>41944</v>
      </c>
      <c r="B266" s="28">
        <v>62.805111253796404</v>
      </c>
    </row>
    <row r="267" spans="1:2" ht="22.5" customHeight="1" x14ac:dyDescent="0.2">
      <c r="A267" s="29">
        <v>41974</v>
      </c>
      <c r="B267" s="28">
        <v>63.403240821703065</v>
      </c>
    </row>
    <row r="268" spans="1:2" ht="22.5" customHeight="1" x14ac:dyDescent="0.2">
      <c r="A268" s="29">
        <v>42005</v>
      </c>
      <c r="B268" s="28">
        <v>63.530550515627787</v>
      </c>
    </row>
    <row r="269" spans="1:2" ht="22.5" customHeight="1" x14ac:dyDescent="0.2">
      <c r="A269" s="29">
        <v>42036</v>
      </c>
      <c r="B269" s="28">
        <v>63.688745993285721</v>
      </c>
    </row>
    <row r="270" spans="1:2" ht="22.5" customHeight="1" x14ac:dyDescent="0.2">
      <c r="A270" s="29">
        <v>42064</v>
      </c>
      <c r="B270" s="28">
        <v>64.313241474135367</v>
      </c>
    </row>
    <row r="271" spans="1:2" ht="22.5" customHeight="1" x14ac:dyDescent="0.2">
      <c r="A271" s="29">
        <v>42095</v>
      </c>
      <c r="B271" s="28">
        <v>64.792347777899408</v>
      </c>
    </row>
    <row r="272" spans="1:2" ht="22.5" customHeight="1" x14ac:dyDescent="0.2">
      <c r="A272" s="29">
        <v>42125</v>
      </c>
      <c r="B272" s="28">
        <v>65.752820320822565</v>
      </c>
    </row>
    <row r="273" spans="1:2" ht="22.5" customHeight="1" x14ac:dyDescent="0.2">
      <c r="A273" s="29">
        <v>42156</v>
      </c>
      <c r="B273" s="28">
        <v>66.617622265352608</v>
      </c>
    </row>
    <row r="274" spans="1:2" ht="22.5" customHeight="1" x14ac:dyDescent="0.2">
      <c r="A274" s="29">
        <v>42186</v>
      </c>
      <c r="B274" s="28">
        <v>67.575081561082285</v>
      </c>
    </row>
    <row r="275" spans="1:2" ht="22.5" customHeight="1" x14ac:dyDescent="0.2">
      <c r="A275" s="29">
        <v>42217</v>
      </c>
      <c r="B275" s="28">
        <v>68.540073974795689</v>
      </c>
    </row>
    <row r="276" spans="1:2" ht="22.5" customHeight="1" x14ac:dyDescent="0.2">
      <c r="A276" s="29">
        <v>42248</v>
      </c>
      <c r="B276" s="28">
        <v>69.465894174993778</v>
      </c>
    </row>
    <row r="277" spans="1:2" s="22" customFormat="1" ht="22.5" customHeight="1" x14ac:dyDescent="0.2">
      <c r="A277" s="29">
        <v>42278</v>
      </c>
      <c r="B277" s="28">
        <v>70.109975762601096</v>
      </c>
    </row>
    <row r="278" spans="1:2" s="22" customFormat="1" ht="22.5" customHeight="1" x14ac:dyDescent="0.2">
      <c r="A278" s="29">
        <v>42309</v>
      </c>
      <c r="B278" s="31">
        <v>71.512175277853103</v>
      </c>
    </row>
    <row r="279" spans="1:2" s="22" customFormat="1" ht="22.5" customHeight="1" x14ac:dyDescent="0.2">
      <c r="A279" s="29">
        <v>42339</v>
      </c>
      <c r="B279" s="31">
        <v>74.301150113689374</v>
      </c>
    </row>
    <row r="280" spans="1:2" s="22" customFormat="1" ht="22.5" customHeight="1" x14ac:dyDescent="0.2">
      <c r="A280" s="29">
        <v>42370</v>
      </c>
      <c r="B280" s="32">
        <v>80.988253623921409</v>
      </c>
    </row>
    <row r="281" spans="1:2" s="22" customFormat="1" ht="22.5" customHeight="1" x14ac:dyDescent="0.2">
      <c r="A281" s="29">
        <v>42401</v>
      </c>
      <c r="B281" s="32">
        <v>85.037666305117483</v>
      </c>
    </row>
    <row r="282" spans="1:2" s="22" customFormat="1" ht="22.5" customHeight="1" x14ac:dyDescent="0.2">
      <c r="A282" s="29">
        <v>42430</v>
      </c>
      <c r="B282" s="32">
        <v>87.078570296440319</v>
      </c>
    </row>
    <row r="283" spans="1:2" s="22" customFormat="1" ht="22.5" customHeight="1" x14ac:dyDescent="0.2">
      <c r="A283" s="29">
        <v>42461</v>
      </c>
      <c r="B283" s="32">
        <v>88.384748850886908</v>
      </c>
    </row>
    <row r="284" spans="1:2" s="22" customFormat="1" ht="22.5" customHeight="1" x14ac:dyDescent="0.2">
      <c r="A284" s="29">
        <v>42491</v>
      </c>
      <c r="B284" s="32">
        <v>91.566599809518848</v>
      </c>
    </row>
    <row r="285" spans="1:2" s="22" customFormat="1" ht="22.5" customHeight="1" x14ac:dyDescent="0.2">
      <c r="A285" s="29">
        <v>42522</v>
      </c>
      <c r="B285" s="32">
        <v>94.222031203994888</v>
      </c>
    </row>
    <row r="286" spans="1:2" s="22" customFormat="1" ht="22.5" customHeight="1" x14ac:dyDescent="0.2">
      <c r="A286" s="29">
        <v>42552</v>
      </c>
      <c r="B286" s="32">
        <v>96.766026046502745</v>
      </c>
    </row>
    <row r="287" spans="1:2" s="22" customFormat="1" ht="22.5" customHeight="1" x14ac:dyDescent="0.2">
      <c r="A287" s="29">
        <v>42583</v>
      </c>
      <c r="B287" s="32">
        <v>97.153090150688755</v>
      </c>
    </row>
    <row r="288" spans="1:2" s="22" customFormat="1" ht="22.5" customHeight="1" x14ac:dyDescent="0.2">
      <c r="A288" s="29">
        <v>42614</v>
      </c>
      <c r="B288" s="32">
        <v>97.541702511291518</v>
      </c>
    </row>
    <row r="289" spans="1:2" s="22" customFormat="1" ht="22.5" customHeight="1" x14ac:dyDescent="0.2">
      <c r="A289" s="29">
        <v>42644</v>
      </c>
      <c r="B289" s="32">
        <v>98.126952726359278</v>
      </c>
    </row>
    <row r="290" spans="1:2" s="22" customFormat="1" ht="22.5" customHeight="1" x14ac:dyDescent="0.2">
      <c r="A290" s="29">
        <v>42675</v>
      </c>
      <c r="B290" s="32">
        <v>99.206349206349216</v>
      </c>
    </row>
    <row r="291" spans="1:2" s="22" customFormat="1" ht="22.5" customHeight="1" x14ac:dyDescent="0.2">
      <c r="A291" s="29">
        <v>42705</v>
      </c>
      <c r="B291" s="32">
        <v>100.00000000000001</v>
      </c>
    </row>
    <row r="292" spans="1:2" s="22" customFormat="1" ht="22.5" customHeight="1" x14ac:dyDescent="0.2">
      <c r="A292" s="29">
        <v>42736</v>
      </c>
      <c r="B292" s="32">
        <v>101.5859</v>
      </c>
    </row>
    <row r="293" spans="1:2" s="22" customFormat="1" ht="22.5" customHeight="1" x14ac:dyDescent="0.2">
      <c r="A293" s="29">
        <v>42767</v>
      </c>
      <c r="B293" s="32">
        <v>103.6859</v>
      </c>
    </row>
    <row r="294" spans="1:2" s="22" customFormat="1" ht="22.5" customHeight="1" x14ac:dyDescent="0.2">
      <c r="A294" s="29">
        <v>42795</v>
      </c>
      <c r="B294" s="32">
        <v>106.1476</v>
      </c>
    </row>
    <row r="295" spans="1:2" s="22" customFormat="1" ht="22.5" customHeight="1" x14ac:dyDescent="0.2">
      <c r="A295" s="29">
        <v>42826</v>
      </c>
      <c r="B295" s="32">
        <v>108.9667</v>
      </c>
    </row>
    <row r="296" spans="1:2" s="22" customFormat="1" ht="22.5" customHeight="1" x14ac:dyDescent="0.2">
      <c r="A296" s="29">
        <v>42856</v>
      </c>
      <c r="B296" s="32">
        <v>110.5301</v>
      </c>
    </row>
    <row r="297" spans="1:2" s="22" customFormat="1" ht="22.5" customHeight="1" x14ac:dyDescent="0.2">
      <c r="A297" s="29">
        <v>42887</v>
      </c>
      <c r="B297" s="32">
        <v>111.8477</v>
      </c>
    </row>
    <row r="298" spans="1:2" s="22" customFormat="1" ht="22.5" customHeight="1" x14ac:dyDescent="0.2">
      <c r="A298" s="29">
        <v>42917</v>
      </c>
      <c r="B298" s="32">
        <v>113.7852</v>
      </c>
    </row>
    <row r="299" spans="1:2" s="22" customFormat="1" ht="22.5" customHeight="1" x14ac:dyDescent="0.2">
      <c r="A299" s="29">
        <v>42948</v>
      </c>
      <c r="B299" s="32">
        <v>115.3819</v>
      </c>
    </row>
    <row r="300" spans="1:2" s="22" customFormat="1" ht="22.5" customHeight="1" x14ac:dyDescent="0.2">
      <c r="A300" s="29">
        <v>42979</v>
      </c>
      <c r="B300" s="32">
        <v>117.5719</v>
      </c>
    </row>
    <row r="301" spans="1:2" s="22" customFormat="1" ht="22.5" customHeight="1" x14ac:dyDescent="0.2">
      <c r="A301" s="29">
        <v>43009</v>
      </c>
      <c r="B301" s="32">
        <v>119.3528</v>
      </c>
    </row>
    <row r="302" spans="1:2" s="22" customFormat="1" ht="22.5" customHeight="1" x14ac:dyDescent="0.2">
      <c r="A302" s="29">
        <v>43040</v>
      </c>
      <c r="B302" s="32">
        <v>120.994</v>
      </c>
    </row>
    <row r="303" spans="1:2" s="22" customFormat="1" ht="22.5" customHeight="1" x14ac:dyDescent="0.2">
      <c r="A303" s="29">
        <v>43070</v>
      </c>
      <c r="B303" s="32">
        <v>124.79559999999999</v>
      </c>
    </row>
    <row r="304" spans="1:2" ht="22.5" customHeight="1" x14ac:dyDescent="0.2">
      <c r="A304" s="29">
        <v>43101</v>
      </c>
      <c r="B304" s="32">
        <v>126.98869999999999</v>
      </c>
    </row>
    <row r="305" spans="1:2" ht="22.5" customHeight="1" x14ac:dyDescent="0.2">
      <c r="A305" s="29">
        <v>43132</v>
      </c>
      <c r="B305" s="32">
        <v>130.06059999999999</v>
      </c>
    </row>
    <row r="306" spans="1:2" ht="22.5" customHeight="1" x14ac:dyDescent="0.2">
      <c r="A306" s="29">
        <v>43160</v>
      </c>
      <c r="B306" s="32">
        <v>133.1054</v>
      </c>
    </row>
    <row r="307" spans="1:2" ht="22.5" customHeight="1" x14ac:dyDescent="0.2">
      <c r="A307" s="29">
        <v>43191</v>
      </c>
      <c r="B307" s="32">
        <v>136.75120000000001</v>
      </c>
    </row>
    <row r="308" spans="1:2" ht="22.5" customHeight="1" x14ac:dyDescent="0.2">
      <c r="A308" s="29">
        <v>43221</v>
      </c>
      <c r="B308" s="32">
        <v>139.58930000000001</v>
      </c>
    </row>
    <row r="309" spans="1:2" ht="22.5" customHeight="1" x14ac:dyDescent="0.2">
      <c r="A309" s="29">
        <v>43252</v>
      </c>
      <c r="B309" s="32">
        <v>144.80529999999999</v>
      </c>
    </row>
    <row r="310" spans="1:2" ht="22.5" customHeight="1" x14ac:dyDescent="0.2">
      <c r="A310" s="29">
        <v>43282</v>
      </c>
      <c r="B310" s="32">
        <v>149.29660000000001</v>
      </c>
    </row>
    <row r="311" spans="1:2" ht="22.5" customHeight="1" x14ac:dyDescent="0.2">
      <c r="A311" s="29">
        <v>43313</v>
      </c>
      <c r="B311" s="32">
        <v>155.10339999999999</v>
      </c>
    </row>
    <row r="312" spans="1:2" ht="22.5" customHeight="1" x14ac:dyDescent="0.2">
      <c r="A312" s="29">
        <v>43344</v>
      </c>
      <c r="B312" s="32">
        <v>165.23830000000001</v>
      </c>
    </row>
    <row r="313" spans="1:2" ht="22.5" customHeight="1" x14ac:dyDescent="0.2">
      <c r="A313" s="29">
        <v>43374</v>
      </c>
      <c r="B313" s="32">
        <v>174.1473</v>
      </c>
    </row>
    <row r="314" spans="1:2" ht="22.5" customHeight="1" x14ac:dyDescent="0.2">
      <c r="A314" s="29">
        <v>43405</v>
      </c>
      <c r="B314" s="32">
        <v>179.6388</v>
      </c>
    </row>
    <row r="315" spans="1:2" ht="22.5" customHeight="1" x14ac:dyDescent="0.2">
      <c r="A315" s="23">
        <v>43435</v>
      </c>
      <c r="B315" s="24">
        <v>184.2552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7"/>
  <sheetViews>
    <sheetView showGridLines="0" tabSelected="1" topLeftCell="A116" workbookViewId="0">
      <selection activeCell="I165" sqref="I165"/>
    </sheetView>
  </sheetViews>
  <sheetFormatPr baseColWidth="10" defaultRowHeight="12.75" x14ac:dyDescent="0.2"/>
  <cols>
    <col min="1" max="1" width="42.28515625" style="3" bestFit="1" customWidth="1"/>
    <col min="2" max="16384" width="11.42578125" style="3"/>
  </cols>
  <sheetData>
    <row r="1" spans="1:15" x14ac:dyDescent="0.2">
      <c r="A1" s="52" t="s">
        <v>21</v>
      </c>
      <c r="B1" s="53">
        <v>43070</v>
      </c>
      <c r="C1" s="53">
        <v>43101</v>
      </c>
      <c r="D1" s="53">
        <v>43132</v>
      </c>
      <c r="E1" s="53">
        <v>43160</v>
      </c>
      <c r="F1" s="53">
        <v>43191</v>
      </c>
      <c r="G1" s="53">
        <v>43221</v>
      </c>
      <c r="H1" s="53">
        <v>43252</v>
      </c>
      <c r="I1" s="53">
        <v>43282</v>
      </c>
      <c r="J1" s="53">
        <v>43313</v>
      </c>
      <c r="K1" s="53">
        <v>43344</v>
      </c>
      <c r="L1" s="53">
        <v>43374</v>
      </c>
      <c r="M1" s="53">
        <v>43405</v>
      </c>
      <c r="N1" s="53">
        <v>43435</v>
      </c>
    </row>
    <row r="2" spans="1:15" x14ac:dyDescent="0.2">
      <c r="A2" s="3" t="s">
        <v>0</v>
      </c>
      <c r="B2" s="4">
        <v>1912.3</v>
      </c>
      <c r="C2" s="4">
        <v>2133.3000000000002</v>
      </c>
      <c r="D2" s="4">
        <v>1869.3</v>
      </c>
      <c r="E2" s="4">
        <v>1487.3</v>
      </c>
      <c r="F2" s="4">
        <v>991.76724421991207</v>
      </c>
      <c r="G2" s="4">
        <v>918.73448843982374</v>
      </c>
      <c r="H2" s="4">
        <v>920.7017326597354</v>
      </c>
      <c r="I2" s="4">
        <v>1027.1689768796475</v>
      </c>
      <c r="J2" s="4">
        <v>1042.1362210995587</v>
      </c>
      <c r="K2" s="4">
        <v>1020.1034653194712</v>
      </c>
      <c r="L2" s="4">
        <v>655.07070953938239</v>
      </c>
      <c r="M2" s="4">
        <v>785.03795375929451</v>
      </c>
      <c r="N2" s="4">
        <v>767.00519797920674</v>
      </c>
      <c r="O2" s="3" t="s">
        <v>62</v>
      </c>
    </row>
    <row r="3" spans="1:15" x14ac:dyDescent="0.2">
      <c r="A3" s="3" t="s">
        <v>1</v>
      </c>
      <c r="B3" s="4">
        <v>0</v>
      </c>
      <c r="C3" s="4">
        <v>0</v>
      </c>
      <c r="D3" s="4">
        <v>0</v>
      </c>
      <c r="E3" s="4">
        <v>400</v>
      </c>
      <c r="F3" s="4">
        <f>18*25</f>
        <v>450</v>
      </c>
      <c r="G3" s="4">
        <f>18*30</f>
        <v>540</v>
      </c>
      <c r="H3" s="4">
        <f>18*35</f>
        <v>630</v>
      </c>
      <c r="I3" s="4">
        <f>18*39</f>
        <v>702</v>
      </c>
      <c r="J3" s="4">
        <f>18*40.5</f>
        <v>729</v>
      </c>
      <c r="K3" s="4">
        <f>18*36</f>
        <v>648</v>
      </c>
      <c r="L3" s="4">
        <f>18*35.5+10*35.5</f>
        <v>994</v>
      </c>
      <c r="M3" s="4">
        <f>28*37</f>
        <v>1036</v>
      </c>
      <c r="N3" s="4">
        <f>28*38</f>
        <v>1064</v>
      </c>
      <c r="O3" s="3" t="s">
        <v>62</v>
      </c>
    </row>
    <row r="4" spans="1:15" x14ac:dyDescent="0.2">
      <c r="A4" s="3" t="s">
        <v>2</v>
      </c>
      <c r="B4" s="4">
        <v>237</v>
      </c>
      <c r="C4" s="4">
        <v>117</v>
      </c>
      <c r="D4" s="4">
        <v>124</v>
      </c>
      <c r="E4" s="4">
        <v>233.5</v>
      </c>
      <c r="F4" s="4">
        <v>140</v>
      </c>
      <c r="G4" s="4">
        <v>150</v>
      </c>
      <c r="H4" s="4">
        <v>264.5</v>
      </c>
      <c r="I4" s="4">
        <v>175</v>
      </c>
      <c r="J4" s="4">
        <v>131</v>
      </c>
      <c r="K4" s="4">
        <v>150</v>
      </c>
      <c r="L4" s="4">
        <v>300</v>
      </c>
      <c r="M4" s="4">
        <v>263</v>
      </c>
      <c r="N4" s="4">
        <v>257</v>
      </c>
      <c r="O4" s="3" t="s">
        <v>62</v>
      </c>
    </row>
    <row r="5" spans="1:15" x14ac:dyDescent="0.2">
      <c r="A5" s="3" t="s">
        <v>3</v>
      </c>
      <c r="B5" s="4">
        <v>165</v>
      </c>
      <c r="C5" s="4">
        <v>165</v>
      </c>
      <c r="D5" s="4">
        <v>165</v>
      </c>
      <c r="E5" s="4">
        <v>165</v>
      </c>
      <c r="F5" s="4">
        <v>165</v>
      </c>
      <c r="G5" s="4">
        <v>165</v>
      </c>
      <c r="H5" s="4">
        <v>165</v>
      </c>
      <c r="I5" s="4">
        <v>165</v>
      </c>
      <c r="J5" s="4">
        <v>165</v>
      </c>
      <c r="K5" s="4">
        <v>165</v>
      </c>
      <c r="L5" s="4">
        <v>165</v>
      </c>
      <c r="M5" s="4">
        <v>165</v>
      </c>
      <c r="N5" s="4">
        <v>165</v>
      </c>
      <c r="O5" s="3" t="s">
        <v>62</v>
      </c>
    </row>
    <row r="6" spans="1:15" x14ac:dyDescent="0.2">
      <c r="A6" s="3" t="s">
        <v>19</v>
      </c>
      <c r="B6" s="4">
        <v>0</v>
      </c>
      <c r="C6" s="4">
        <v>88</v>
      </c>
      <c r="D6" s="4">
        <v>182</v>
      </c>
      <c r="E6" s="4">
        <v>281</v>
      </c>
      <c r="F6" s="4">
        <v>387</v>
      </c>
      <c r="G6" s="4">
        <v>501</v>
      </c>
      <c r="H6" s="4">
        <v>623</v>
      </c>
      <c r="I6" s="4">
        <v>736</v>
      </c>
      <c r="J6" s="4">
        <v>835</v>
      </c>
      <c r="K6" s="4">
        <v>949</v>
      </c>
      <c r="L6" s="4">
        <v>1176</v>
      </c>
      <c r="M6" s="4">
        <v>1375</v>
      </c>
      <c r="N6" s="4">
        <v>1590</v>
      </c>
      <c r="O6" s="3" t="s">
        <v>63</v>
      </c>
    </row>
    <row r="7" spans="1:15" x14ac:dyDescent="0.2">
      <c r="A7" s="3" t="s">
        <v>4</v>
      </c>
      <c r="B7" s="4">
        <v>1143</v>
      </c>
      <c r="C7" s="4">
        <v>1143</v>
      </c>
      <c r="D7" s="4">
        <v>1143</v>
      </c>
      <c r="E7" s="4">
        <v>1143</v>
      </c>
      <c r="F7" s="4">
        <v>1493</v>
      </c>
      <c r="G7" s="4">
        <v>1493</v>
      </c>
      <c r="H7" s="4">
        <v>1493</v>
      </c>
      <c r="I7" s="4">
        <v>1493</v>
      </c>
      <c r="J7" s="4">
        <v>1493</v>
      </c>
      <c r="K7" s="4">
        <v>1493</v>
      </c>
      <c r="L7" s="4">
        <v>1493</v>
      </c>
      <c r="M7" s="4">
        <v>1493</v>
      </c>
      <c r="N7" s="4">
        <v>1493</v>
      </c>
      <c r="O7" s="3" t="s">
        <v>63</v>
      </c>
    </row>
    <row r="8" spans="1:15" x14ac:dyDescent="0.2">
      <c r="A8" s="3" t="s">
        <v>5</v>
      </c>
      <c r="B8" s="4">
        <v>-219.3</v>
      </c>
      <c r="C8" s="4">
        <f>$B$8-C20</f>
        <v>-227.28333333333333</v>
      </c>
      <c r="D8" s="4">
        <f t="shared" ref="D8:N8" si="0">$B$8-D20</f>
        <v>-235.26666666666668</v>
      </c>
      <c r="E8" s="4">
        <f t="shared" si="0"/>
        <v>-243.25</v>
      </c>
      <c r="F8" s="4">
        <f t="shared" si="0"/>
        <v>-251.23333333333335</v>
      </c>
      <c r="G8" s="4">
        <f t="shared" si="0"/>
        <v>-259.2166666666667</v>
      </c>
      <c r="H8" s="4">
        <f t="shared" si="0"/>
        <v>-267.2</v>
      </c>
      <c r="I8" s="4">
        <f t="shared" si="0"/>
        <v>-275.18333333333334</v>
      </c>
      <c r="J8" s="4">
        <f t="shared" si="0"/>
        <v>-283.16666666666669</v>
      </c>
      <c r="K8" s="4">
        <f t="shared" si="0"/>
        <v>-291.14999999999998</v>
      </c>
      <c r="L8" s="4">
        <f t="shared" si="0"/>
        <v>-299.13333333333333</v>
      </c>
      <c r="M8" s="4">
        <f t="shared" si="0"/>
        <v>-307.11666666666667</v>
      </c>
      <c r="N8" s="4">
        <f t="shared" si="0"/>
        <v>-315.10000000000002</v>
      </c>
      <c r="O8" s="3" t="s">
        <v>63</v>
      </c>
    </row>
    <row r="9" spans="1:15" x14ac:dyDescent="0.2">
      <c r="A9" s="3" t="s">
        <v>6</v>
      </c>
      <c r="B9" s="4">
        <v>-364</v>
      </c>
      <c r="C9" s="4">
        <v>-452</v>
      </c>
      <c r="D9" s="4">
        <v>-182</v>
      </c>
      <c r="E9" s="4">
        <v>-193</v>
      </c>
      <c r="F9" s="4">
        <v>-205</v>
      </c>
      <c r="G9" s="4">
        <v>-220</v>
      </c>
      <c r="H9" s="4">
        <v>-236</v>
      </c>
      <c r="I9" s="4">
        <v>-235</v>
      </c>
      <c r="J9" s="4">
        <v>-212</v>
      </c>
      <c r="K9" s="4">
        <v>-213</v>
      </c>
      <c r="L9" s="4">
        <v>-341</v>
      </c>
      <c r="M9" s="4">
        <v>-426</v>
      </c>
      <c r="N9" s="4">
        <v>-414</v>
      </c>
      <c r="O9" s="3" t="s">
        <v>62</v>
      </c>
    </row>
    <row r="10" spans="1:15" x14ac:dyDescent="0.2">
      <c r="A10" s="3" t="s">
        <v>7</v>
      </c>
      <c r="B10" s="4">
        <v>0</v>
      </c>
      <c r="C10" s="4">
        <v>0</v>
      </c>
      <c r="D10" s="4">
        <v>0</v>
      </c>
      <c r="E10" s="4">
        <v>0</v>
      </c>
      <c r="F10" s="4">
        <v>-346.00891088657846</v>
      </c>
      <c r="G10" s="4">
        <v>-341.83489685545845</v>
      </c>
      <c r="H10" s="4">
        <v>-337.4695738479121</v>
      </c>
      <c r="I10" s="4">
        <v>-332.9041735358532</v>
      </c>
      <c r="J10" s="4">
        <v>-328.12952570949165</v>
      </c>
      <c r="K10" s="4">
        <v>-323.13603985775518</v>
      </c>
      <c r="L10" s="4">
        <v>-317.91368590448076</v>
      </c>
      <c r="M10" s="4">
        <v>-312.45197406168126</v>
      </c>
      <c r="N10" s="4">
        <v>-306.73993375942013</v>
      </c>
      <c r="O10" s="3" t="s">
        <v>62</v>
      </c>
    </row>
    <row r="11" spans="1:15" x14ac:dyDescent="0.2">
      <c r="A11" s="3" t="s">
        <v>8</v>
      </c>
      <c r="B11" s="4">
        <v>-74</v>
      </c>
      <c r="C11" s="4">
        <v>-74</v>
      </c>
      <c r="D11" s="4">
        <v>-74</v>
      </c>
      <c r="E11" s="4">
        <v>-74</v>
      </c>
      <c r="F11" s="4">
        <v>-74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-115</v>
      </c>
      <c r="O11" s="3" t="s">
        <v>62</v>
      </c>
    </row>
    <row r="12" spans="1:15" x14ac:dyDescent="0.2">
      <c r="A12" s="54" t="s">
        <v>67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5" x14ac:dyDescent="0.2">
      <c r="A13" s="3" t="s">
        <v>9</v>
      </c>
      <c r="B13" s="4">
        <v>-1000</v>
      </c>
      <c r="C13" s="4">
        <v>-1000</v>
      </c>
      <c r="D13" s="4">
        <v>-1000</v>
      </c>
      <c r="E13" s="4">
        <v>-1000</v>
      </c>
      <c r="F13" s="4">
        <v>-1000</v>
      </c>
      <c r="G13" s="4">
        <v>-1000</v>
      </c>
      <c r="H13" s="4">
        <v>-1000</v>
      </c>
      <c r="I13" s="4">
        <v>-1000</v>
      </c>
      <c r="J13" s="4">
        <v>-1000</v>
      </c>
      <c r="K13" s="4">
        <v>-1000</v>
      </c>
      <c r="L13" s="4">
        <v>-1000</v>
      </c>
      <c r="M13" s="4">
        <v>-1000</v>
      </c>
      <c r="N13" s="4">
        <v>-1000</v>
      </c>
    </row>
    <row r="14" spans="1:15" x14ac:dyDescent="0.2">
      <c r="A14" s="3" t="s">
        <v>39</v>
      </c>
      <c r="B14" s="4">
        <v>-970</v>
      </c>
      <c r="C14" s="4">
        <v>-970</v>
      </c>
      <c r="D14" s="4">
        <v>-970</v>
      </c>
      <c r="E14" s="4">
        <v>-970</v>
      </c>
      <c r="F14" s="4">
        <v>-970</v>
      </c>
      <c r="G14" s="4">
        <v>-970</v>
      </c>
      <c r="H14" s="4">
        <v>-970</v>
      </c>
      <c r="I14" s="4">
        <v>-970</v>
      </c>
      <c r="J14" s="4">
        <v>-970</v>
      </c>
      <c r="K14" s="4">
        <v>-970</v>
      </c>
      <c r="L14" s="4">
        <v>-970</v>
      </c>
      <c r="M14" s="4">
        <v>-970</v>
      </c>
      <c r="N14" s="4">
        <v>-970</v>
      </c>
    </row>
    <row r="15" spans="1:15" x14ac:dyDescent="0.2">
      <c r="A15" s="3" t="s">
        <v>10</v>
      </c>
      <c r="B15" s="4">
        <v>-180</v>
      </c>
      <c r="C15" s="4">
        <v>-180</v>
      </c>
      <c r="D15" s="4">
        <v>-180</v>
      </c>
      <c r="E15" s="4">
        <v>-180</v>
      </c>
      <c r="F15" s="4">
        <v>-187.5</v>
      </c>
      <c r="G15" s="4">
        <v>-187.5</v>
      </c>
      <c r="H15" s="4">
        <v>-187.5</v>
      </c>
      <c r="I15" s="4">
        <v>-187.5</v>
      </c>
      <c r="J15" s="4">
        <v>-187.5</v>
      </c>
      <c r="K15" s="4">
        <v>-187.5</v>
      </c>
      <c r="L15" s="4">
        <v>-187.5</v>
      </c>
      <c r="M15" s="4">
        <v>-187.5</v>
      </c>
      <c r="N15" s="4">
        <v>-187.5</v>
      </c>
    </row>
    <row r="16" spans="1:15" x14ac:dyDescent="0.2">
      <c r="A16" s="3" t="s">
        <v>11</v>
      </c>
      <c r="B16" s="4">
        <v>-650</v>
      </c>
      <c r="C16" s="4">
        <f>B16</f>
        <v>-650</v>
      </c>
      <c r="D16" s="4">
        <f t="shared" ref="D16:N16" si="1">C16</f>
        <v>-650</v>
      </c>
      <c r="E16" s="4">
        <f t="shared" si="1"/>
        <v>-650</v>
      </c>
      <c r="F16" s="4">
        <f>E16+7.5+600</f>
        <v>-42.5</v>
      </c>
      <c r="G16" s="4">
        <f t="shared" si="1"/>
        <v>-42.5</v>
      </c>
      <c r="H16" s="4">
        <f t="shared" si="1"/>
        <v>-42.5</v>
      </c>
      <c r="I16" s="4">
        <f t="shared" si="1"/>
        <v>-42.5</v>
      </c>
      <c r="J16" s="4">
        <f t="shared" si="1"/>
        <v>-42.5</v>
      </c>
      <c r="K16" s="4">
        <f t="shared" si="1"/>
        <v>-42.5</v>
      </c>
      <c r="L16" s="4">
        <f t="shared" si="1"/>
        <v>-42.5</v>
      </c>
      <c r="M16" s="4">
        <f t="shared" si="1"/>
        <v>-42.5</v>
      </c>
      <c r="N16" s="4">
        <f t="shared" si="1"/>
        <v>-42.5</v>
      </c>
    </row>
    <row r="17" spans="1:17" x14ac:dyDescent="0.2">
      <c r="A17" s="3" t="s">
        <v>12</v>
      </c>
      <c r="B17" s="4"/>
      <c r="C17" s="4">
        <v>-117</v>
      </c>
      <c r="D17" s="4">
        <v>-241</v>
      </c>
      <c r="E17" s="4">
        <v>-474.5</v>
      </c>
      <c r="F17" s="4">
        <v>-614.5</v>
      </c>
      <c r="G17" s="4">
        <v>-764.5</v>
      </c>
      <c r="H17" s="4">
        <v>-1029</v>
      </c>
      <c r="I17" s="4">
        <v>-1204</v>
      </c>
      <c r="J17" s="4">
        <v>-1335</v>
      </c>
      <c r="K17" s="4">
        <v>-1485</v>
      </c>
      <c r="L17" s="4">
        <v>-1785</v>
      </c>
      <c r="M17" s="4">
        <v>-2048</v>
      </c>
      <c r="N17" s="4">
        <v>-2305</v>
      </c>
    </row>
    <row r="18" spans="1:17" x14ac:dyDescent="0.2">
      <c r="A18" s="3" t="s">
        <v>13</v>
      </c>
      <c r="B18" s="4"/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7" x14ac:dyDescent="0.2">
      <c r="A19" s="3" t="s">
        <v>14</v>
      </c>
      <c r="B19" s="4"/>
      <c r="C19" s="4">
        <v>16</v>
      </c>
      <c r="D19" s="4">
        <v>33</v>
      </c>
      <c r="E19" s="4">
        <v>51</v>
      </c>
      <c r="F19" s="4">
        <v>70</v>
      </c>
      <c r="G19" s="4">
        <v>90</v>
      </c>
      <c r="H19" s="4">
        <v>112</v>
      </c>
      <c r="I19" s="4">
        <v>136</v>
      </c>
      <c r="J19" s="4">
        <v>154</v>
      </c>
      <c r="K19" s="4">
        <v>174</v>
      </c>
      <c r="L19" s="4">
        <v>215</v>
      </c>
      <c r="M19" s="4">
        <v>251</v>
      </c>
      <c r="N19" s="4">
        <v>285</v>
      </c>
    </row>
    <row r="20" spans="1:17" x14ac:dyDescent="0.2">
      <c r="A20" s="3" t="s">
        <v>15</v>
      </c>
      <c r="B20" s="4"/>
      <c r="C20" s="4">
        <v>7.9833333333333334</v>
      </c>
      <c r="D20" s="4">
        <v>15.966666666666667</v>
      </c>
      <c r="E20" s="4">
        <v>23.95</v>
      </c>
      <c r="F20" s="4">
        <v>31.933333333333334</v>
      </c>
      <c r="G20" s="4">
        <v>39.916666666666664</v>
      </c>
      <c r="H20" s="4">
        <v>47.9</v>
      </c>
      <c r="I20" s="4">
        <v>55.883333333333333</v>
      </c>
      <c r="J20" s="4">
        <v>63.866666666666667</v>
      </c>
      <c r="K20" s="4">
        <v>71.849999999999994</v>
      </c>
      <c r="L20" s="4">
        <v>79.833333333333329</v>
      </c>
      <c r="M20" s="4">
        <v>87.816666666666663</v>
      </c>
      <c r="N20" s="4">
        <v>95.8</v>
      </c>
    </row>
    <row r="21" spans="1:17" x14ac:dyDescent="0.2">
      <c r="A21" s="3" t="s">
        <v>16</v>
      </c>
      <c r="B21" s="4"/>
      <c r="C21" s="4"/>
      <c r="D21" s="4"/>
      <c r="E21" s="4"/>
      <c r="F21" s="4">
        <f>-18*(25-22)</f>
        <v>-54</v>
      </c>
      <c r="G21" s="4">
        <f>-18*(30-22)</f>
        <v>-144</v>
      </c>
      <c r="H21" s="4">
        <f>-18*(35-22)</f>
        <v>-234</v>
      </c>
      <c r="I21" s="4">
        <f>-18*(39-22)</f>
        <v>-306</v>
      </c>
      <c r="J21" s="4">
        <f>-18*(40.5-22)</f>
        <v>-333</v>
      </c>
      <c r="K21" s="4">
        <f>-18*(36-22)</f>
        <v>-252</v>
      </c>
      <c r="L21" s="4">
        <f>-18*(35.5-22)-10*(35.5-35.5)</f>
        <v>-243</v>
      </c>
      <c r="M21" s="4">
        <f>-18*(37-22)-10*(37-35.5)</f>
        <v>-285</v>
      </c>
      <c r="N21" s="4">
        <f>-18*(38-22)-10*(38-35.5)</f>
        <v>-313</v>
      </c>
    </row>
    <row r="22" spans="1:17" x14ac:dyDescent="0.2">
      <c r="A22" s="3" t="s">
        <v>87</v>
      </c>
      <c r="B22" s="4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7" x14ac:dyDescent="0.2">
      <c r="A23" s="3" t="s">
        <v>17</v>
      </c>
      <c r="B23" s="4"/>
      <c r="C23" s="4">
        <v>0</v>
      </c>
      <c r="D23" s="4">
        <v>0</v>
      </c>
      <c r="E23" s="4">
        <v>0</v>
      </c>
      <c r="F23" s="4">
        <v>16.041666666666668</v>
      </c>
      <c r="G23" s="4">
        <v>31.900408415634846</v>
      </c>
      <c r="H23" s="4">
        <v>47.567841188176693</v>
      </c>
      <c r="I23" s="4">
        <v>63.035196656205997</v>
      </c>
      <c r="J23" s="4">
        <v>78.293304609932605</v>
      </c>
      <c r="K23" s="4">
        <v>93.332574538284305</v>
      </c>
      <c r="L23" s="4">
        <v>108.14297636509809</v>
      </c>
      <c r="M23" s="4">
        <v>122.7140203023868</v>
      </c>
      <c r="N23" s="4">
        <v>137.03473578021385</v>
      </c>
      <c r="O23" s="4"/>
      <c r="P23" s="4"/>
      <c r="Q23" s="4"/>
    </row>
    <row r="24" spans="1:17" x14ac:dyDescent="0.2">
      <c r="A24" s="3" t="s">
        <v>18</v>
      </c>
      <c r="B24" s="4"/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115</v>
      </c>
    </row>
    <row r="25" spans="1:17" x14ac:dyDescent="0.2">
      <c r="A25" s="3" t="s">
        <v>81</v>
      </c>
      <c r="B25" s="4"/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7" x14ac:dyDescent="0.2">
      <c r="A26" s="2" t="s">
        <v>20</v>
      </c>
      <c r="B26" s="5">
        <f>ROUND(SUM(B2:B24),0)</f>
        <v>0</v>
      </c>
      <c r="C26" s="5">
        <f t="shared" ref="C26:N26" si="2">ROUND(SUM(C2:C24),0)</f>
        <v>0</v>
      </c>
      <c r="D26" s="5">
        <f t="shared" si="2"/>
        <v>0</v>
      </c>
      <c r="E26" s="5">
        <f t="shared" si="2"/>
        <v>0</v>
      </c>
      <c r="F26" s="5">
        <f t="shared" si="2"/>
        <v>0</v>
      </c>
      <c r="G26" s="5">
        <f t="shared" si="2"/>
        <v>0</v>
      </c>
      <c r="H26" s="5">
        <f t="shared" si="2"/>
        <v>0</v>
      </c>
      <c r="I26" s="5">
        <f t="shared" si="2"/>
        <v>0</v>
      </c>
      <c r="J26" s="5">
        <f t="shared" si="2"/>
        <v>0</v>
      </c>
      <c r="K26" s="5">
        <f t="shared" si="2"/>
        <v>0</v>
      </c>
      <c r="L26" s="5">
        <f t="shared" si="2"/>
        <v>0</v>
      </c>
      <c r="M26" s="5">
        <f t="shared" si="2"/>
        <v>0</v>
      </c>
      <c r="N26" s="5">
        <f t="shared" si="2"/>
        <v>0</v>
      </c>
    </row>
    <row r="28" spans="1:17" x14ac:dyDescent="0.2">
      <c r="A28" s="52" t="s">
        <v>21</v>
      </c>
      <c r="B28" s="53">
        <v>43070</v>
      </c>
      <c r="C28" s="53">
        <v>43101</v>
      </c>
      <c r="D28" s="53">
        <v>43132</v>
      </c>
      <c r="E28" s="53">
        <v>43160</v>
      </c>
      <c r="F28" s="53">
        <v>43191</v>
      </c>
      <c r="G28" s="53">
        <v>43221</v>
      </c>
      <c r="H28" s="53">
        <v>43252</v>
      </c>
      <c r="I28" s="53">
        <v>43282</v>
      </c>
      <c r="J28" s="53">
        <v>43313</v>
      </c>
      <c r="K28" s="53">
        <v>43344</v>
      </c>
      <c r="L28" s="53">
        <v>43374</v>
      </c>
      <c r="M28" s="53">
        <v>43405</v>
      </c>
      <c r="N28" s="53">
        <v>43435</v>
      </c>
    </row>
    <row r="29" spans="1:17" x14ac:dyDescent="0.2">
      <c r="A29" s="3" t="s">
        <v>0</v>
      </c>
      <c r="B29" s="4">
        <f>VLOOKUP(A29,ES_INICIO!$1:$1048576,8,FALSE)</f>
        <v>1912.3</v>
      </c>
      <c r="C29" s="4">
        <f>C2-B2</f>
        <v>221.00000000000023</v>
      </c>
      <c r="D29" s="4">
        <f t="shared" ref="D29:N29" si="3">D2-C2</f>
        <v>-264.00000000000023</v>
      </c>
      <c r="E29" s="4">
        <f t="shared" si="3"/>
        <v>-382</v>
      </c>
      <c r="F29" s="4">
        <f t="shared" si="3"/>
        <v>-495.53275578008788</v>
      </c>
      <c r="G29" s="4">
        <f t="shared" si="3"/>
        <v>-73.032755780088337</v>
      </c>
      <c r="H29" s="4">
        <f t="shared" si="3"/>
        <v>1.9672442199116631</v>
      </c>
      <c r="I29" s="4">
        <f t="shared" si="3"/>
        <v>106.46724421991212</v>
      </c>
      <c r="J29" s="4">
        <f t="shared" si="3"/>
        <v>14.967244219911208</v>
      </c>
      <c r="K29" s="4">
        <f t="shared" si="3"/>
        <v>-22.032755780087541</v>
      </c>
      <c r="L29" s="4">
        <f t="shared" si="3"/>
        <v>-365.03275578008879</v>
      </c>
      <c r="M29" s="4">
        <f t="shared" si="3"/>
        <v>129.96724421991212</v>
      </c>
      <c r="N29" s="4">
        <f t="shared" si="3"/>
        <v>-18.032755780087768</v>
      </c>
    </row>
    <row r="30" spans="1:17" x14ac:dyDescent="0.2">
      <c r="A30" s="3" t="s">
        <v>1</v>
      </c>
      <c r="B30" s="4">
        <f>VLOOKUP(A30,ES_INICIO!$1:$1048576,8,FALSE)</f>
        <v>0</v>
      </c>
      <c r="C30" s="4">
        <f t="shared" ref="C30:N30" si="4">C3-B3</f>
        <v>0</v>
      </c>
      <c r="D30" s="4">
        <f t="shared" si="4"/>
        <v>0</v>
      </c>
      <c r="E30" s="4">
        <f t="shared" si="4"/>
        <v>400</v>
      </c>
      <c r="F30" s="4">
        <f t="shared" si="4"/>
        <v>50</v>
      </c>
      <c r="G30" s="4">
        <f t="shared" si="4"/>
        <v>90</v>
      </c>
      <c r="H30" s="4">
        <f t="shared" si="4"/>
        <v>90</v>
      </c>
      <c r="I30" s="4">
        <f t="shared" si="4"/>
        <v>72</v>
      </c>
      <c r="J30" s="4">
        <f t="shared" si="4"/>
        <v>27</v>
      </c>
      <c r="K30" s="4">
        <f t="shared" si="4"/>
        <v>-81</v>
      </c>
      <c r="L30" s="4">
        <f t="shared" si="4"/>
        <v>346</v>
      </c>
      <c r="M30" s="4">
        <f t="shared" si="4"/>
        <v>42</v>
      </c>
      <c r="N30" s="4">
        <f t="shared" si="4"/>
        <v>28</v>
      </c>
    </row>
    <row r="31" spans="1:17" x14ac:dyDescent="0.2">
      <c r="A31" s="3" t="s">
        <v>2</v>
      </c>
      <c r="B31" s="4">
        <f>VLOOKUP(A31,ES_INICIO!$1:$1048576,8,FALSE)</f>
        <v>237</v>
      </c>
      <c r="C31" s="4">
        <f t="shared" ref="C31:N31" si="5">C4-B4</f>
        <v>-120</v>
      </c>
      <c r="D31" s="4">
        <f t="shared" si="5"/>
        <v>7</v>
      </c>
      <c r="E31" s="4">
        <f t="shared" si="5"/>
        <v>109.5</v>
      </c>
      <c r="F31" s="4">
        <f t="shared" si="5"/>
        <v>-93.5</v>
      </c>
      <c r="G31" s="4">
        <f t="shared" si="5"/>
        <v>10</v>
      </c>
      <c r="H31" s="4">
        <f t="shared" si="5"/>
        <v>114.5</v>
      </c>
      <c r="I31" s="4">
        <f t="shared" si="5"/>
        <v>-89.5</v>
      </c>
      <c r="J31" s="4">
        <f t="shared" si="5"/>
        <v>-44</v>
      </c>
      <c r="K31" s="4">
        <f t="shared" si="5"/>
        <v>19</v>
      </c>
      <c r="L31" s="4">
        <f t="shared" si="5"/>
        <v>150</v>
      </c>
      <c r="M31" s="4">
        <f t="shared" si="5"/>
        <v>-37</v>
      </c>
      <c r="N31" s="4">
        <f t="shared" si="5"/>
        <v>-6</v>
      </c>
    </row>
    <row r="32" spans="1:17" x14ac:dyDescent="0.2">
      <c r="A32" s="3" t="s">
        <v>3</v>
      </c>
      <c r="B32" s="4">
        <f>VLOOKUP(A32,ES_INICIO!$1:$1048576,8,FALSE)</f>
        <v>165</v>
      </c>
      <c r="C32" s="4">
        <f t="shared" ref="C32:N32" si="6">C5-B5</f>
        <v>0</v>
      </c>
      <c r="D32" s="4">
        <f t="shared" si="6"/>
        <v>0</v>
      </c>
      <c r="E32" s="4">
        <f t="shared" si="6"/>
        <v>0</v>
      </c>
      <c r="F32" s="4">
        <f t="shared" si="6"/>
        <v>0</v>
      </c>
      <c r="G32" s="4">
        <f t="shared" si="6"/>
        <v>0</v>
      </c>
      <c r="H32" s="4">
        <f t="shared" si="6"/>
        <v>0</v>
      </c>
      <c r="I32" s="4">
        <f t="shared" si="6"/>
        <v>0</v>
      </c>
      <c r="J32" s="4">
        <f t="shared" si="6"/>
        <v>0</v>
      </c>
      <c r="K32" s="4">
        <f t="shared" si="6"/>
        <v>0</v>
      </c>
      <c r="L32" s="4">
        <f t="shared" si="6"/>
        <v>0</v>
      </c>
      <c r="M32" s="4">
        <f t="shared" si="6"/>
        <v>0</v>
      </c>
      <c r="N32" s="4">
        <f t="shared" si="6"/>
        <v>0</v>
      </c>
    </row>
    <row r="33" spans="1:14" x14ac:dyDescent="0.2">
      <c r="A33" s="3" t="s">
        <v>19</v>
      </c>
      <c r="B33" s="4">
        <f>VLOOKUP(A33,ES_INICIO!$1:$1048576,8,FALSE)</f>
        <v>0</v>
      </c>
      <c r="C33" s="4">
        <f t="shared" ref="C33:N33" si="7">C6-B6</f>
        <v>88</v>
      </c>
      <c r="D33" s="4">
        <f t="shared" si="7"/>
        <v>94</v>
      </c>
      <c r="E33" s="4">
        <f t="shared" si="7"/>
        <v>99</v>
      </c>
      <c r="F33" s="4">
        <f t="shared" si="7"/>
        <v>106</v>
      </c>
      <c r="G33" s="4">
        <f t="shared" si="7"/>
        <v>114</v>
      </c>
      <c r="H33" s="4">
        <f t="shared" si="7"/>
        <v>122</v>
      </c>
      <c r="I33" s="4">
        <f t="shared" si="7"/>
        <v>113</v>
      </c>
      <c r="J33" s="4">
        <f t="shared" si="7"/>
        <v>99</v>
      </c>
      <c r="K33" s="4">
        <f t="shared" si="7"/>
        <v>114</v>
      </c>
      <c r="L33" s="4">
        <f t="shared" si="7"/>
        <v>227</v>
      </c>
      <c r="M33" s="4">
        <f t="shared" si="7"/>
        <v>199</v>
      </c>
      <c r="N33" s="4">
        <f t="shared" si="7"/>
        <v>215</v>
      </c>
    </row>
    <row r="34" spans="1:14" x14ac:dyDescent="0.2">
      <c r="A34" s="3" t="s">
        <v>4</v>
      </c>
      <c r="B34" s="4">
        <f>VLOOKUP(A34,ES_INICIO!$1:$1048576,8,FALSE)</f>
        <v>2475.2973295056049</v>
      </c>
      <c r="C34" s="4">
        <f t="shared" ref="C34:N34" si="8">C7-B7</f>
        <v>0</v>
      </c>
      <c r="D34" s="4">
        <f t="shared" si="8"/>
        <v>0</v>
      </c>
      <c r="E34" s="4">
        <f t="shared" si="8"/>
        <v>0</v>
      </c>
      <c r="F34" s="4">
        <f t="shared" si="8"/>
        <v>350</v>
      </c>
      <c r="G34" s="4">
        <f t="shared" si="8"/>
        <v>0</v>
      </c>
      <c r="H34" s="4">
        <f t="shared" si="8"/>
        <v>0</v>
      </c>
      <c r="I34" s="4">
        <f t="shared" si="8"/>
        <v>0</v>
      </c>
      <c r="J34" s="4">
        <f t="shared" si="8"/>
        <v>0</v>
      </c>
      <c r="K34" s="4">
        <f t="shared" si="8"/>
        <v>0</v>
      </c>
      <c r="L34" s="4">
        <f t="shared" si="8"/>
        <v>0</v>
      </c>
      <c r="M34" s="4">
        <f t="shared" si="8"/>
        <v>0</v>
      </c>
      <c r="N34" s="4">
        <f t="shared" si="8"/>
        <v>0</v>
      </c>
    </row>
    <row r="35" spans="1:14" x14ac:dyDescent="0.2">
      <c r="A35" s="3" t="s">
        <v>5</v>
      </c>
      <c r="B35" s="4">
        <f>VLOOKUP(A35,ES_INICIO!$1:$1048576,8,FALSE)</f>
        <v>-885.20968191869633</v>
      </c>
      <c r="C35" s="4">
        <f t="shared" ref="C35:N35" si="9">C8-B8</f>
        <v>-7.9833333333333201</v>
      </c>
      <c r="D35" s="4">
        <f t="shared" si="9"/>
        <v>-7.9833333333333485</v>
      </c>
      <c r="E35" s="4">
        <f t="shared" si="9"/>
        <v>-7.9833333333333201</v>
      </c>
      <c r="F35" s="4">
        <f t="shared" si="9"/>
        <v>-7.9833333333333485</v>
      </c>
      <c r="G35" s="4">
        <f t="shared" si="9"/>
        <v>-7.9833333333333485</v>
      </c>
      <c r="H35" s="4">
        <f t="shared" si="9"/>
        <v>-7.9833333333332916</v>
      </c>
      <c r="I35" s="4">
        <f t="shared" si="9"/>
        <v>-7.9833333333333485</v>
      </c>
      <c r="J35" s="4">
        <f t="shared" si="9"/>
        <v>-7.9833333333333485</v>
      </c>
      <c r="K35" s="4">
        <f t="shared" si="9"/>
        <v>-7.9833333333332916</v>
      </c>
      <c r="L35" s="4">
        <f t="shared" si="9"/>
        <v>-7.9833333333333485</v>
      </c>
      <c r="M35" s="4">
        <f t="shared" si="9"/>
        <v>-7.9833333333333485</v>
      </c>
      <c r="N35" s="4">
        <f t="shared" si="9"/>
        <v>-7.9833333333333485</v>
      </c>
    </row>
    <row r="36" spans="1:14" x14ac:dyDescent="0.2">
      <c r="A36" s="3" t="s">
        <v>6</v>
      </c>
      <c r="B36" s="4">
        <f>VLOOKUP(A36,ES_INICIO!$1:$1048576,8,FALSE)</f>
        <v>-364</v>
      </c>
      <c r="C36" s="4">
        <f t="shared" ref="C36:N36" si="10">C9-B9</f>
        <v>-88</v>
      </c>
      <c r="D36" s="4">
        <f t="shared" si="10"/>
        <v>270</v>
      </c>
      <c r="E36" s="4">
        <f t="shared" si="10"/>
        <v>-11</v>
      </c>
      <c r="F36" s="4">
        <f t="shared" si="10"/>
        <v>-12</v>
      </c>
      <c r="G36" s="4">
        <f t="shared" si="10"/>
        <v>-15</v>
      </c>
      <c r="H36" s="4">
        <f t="shared" si="10"/>
        <v>-16</v>
      </c>
      <c r="I36" s="4">
        <f t="shared" si="10"/>
        <v>1</v>
      </c>
      <c r="J36" s="4">
        <f t="shared" si="10"/>
        <v>23</v>
      </c>
      <c r="K36" s="4">
        <f t="shared" si="10"/>
        <v>-1</v>
      </c>
      <c r="L36" s="4">
        <f t="shared" si="10"/>
        <v>-128</v>
      </c>
      <c r="M36" s="4">
        <f t="shared" si="10"/>
        <v>-85</v>
      </c>
      <c r="N36" s="4">
        <f t="shared" si="10"/>
        <v>12</v>
      </c>
    </row>
    <row r="37" spans="1:14" x14ac:dyDescent="0.2">
      <c r="A37" s="3" t="s">
        <v>7</v>
      </c>
      <c r="B37" s="4">
        <f>VLOOKUP(A37,ES_INICIO!$1:$1048576,8,FALSE)</f>
        <v>0</v>
      </c>
      <c r="C37" s="4">
        <f t="shared" ref="C37:N37" si="11">C10-B10</f>
        <v>0</v>
      </c>
      <c r="D37" s="4">
        <f t="shared" si="11"/>
        <v>0</v>
      </c>
      <c r="E37" s="4">
        <f t="shared" si="11"/>
        <v>0</v>
      </c>
      <c r="F37" s="4">
        <f t="shared" si="11"/>
        <v>-346.00891088657846</v>
      </c>
      <c r="G37" s="4">
        <f t="shared" si="11"/>
        <v>4.1740140311200093</v>
      </c>
      <c r="H37" s="4">
        <f t="shared" si="11"/>
        <v>4.3653230075463512</v>
      </c>
      <c r="I37" s="4">
        <f t="shared" si="11"/>
        <v>4.5654003120588982</v>
      </c>
      <c r="J37" s="4">
        <f t="shared" si="11"/>
        <v>4.7746478263615586</v>
      </c>
      <c r="K37" s="4">
        <f t="shared" si="11"/>
        <v>4.993485851736466</v>
      </c>
      <c r="L37" s="4">
        <f t="shared" si="11"/>
        <v>5.2223539532744212</v>
      </c>
      <c r="M37" s="4">
        <f t="shared" si="11"/>
        <v>5.4617118427995024</v>
      </c>
      <c r="N37" s="4">
        <f t="shared" si="11"/>
        <v>5.7120403022611299</v>
      </c>
    </row>
    <row r="38" spans="1:14" x14ac:dyDescent="0.2">
      <c r="A38" s="3" t="s">
        <v>8</v>
      </c>
      <c r="B38" s="4">
        <f>VLOOKUP(A38,ES_INICIO!$1:$1048576,8,FALSE)</f>
        <v>-74</v>
      </c>
      <c r="C38" s="4">
        <f t="shared" ref="C38:N38" si="12">C11-B11</f>
        <v>0</v>
      </c>
      <c r="D38" s="4">
        <f t="shared" si="12"/>
        <v>0</v>
      </c>
      <c r="E38" s="4">
        <f t="shared" si="12"/>
        <v>0</v>
      </c>
      <c r="F38" s="4">
        <f t="shared" si="12"/>
        <v>0</v>
      </c>
      <c r="G38" s="4">
        <f t="shared" si="12"/>
        <v>74</v>
      </c>
      <c r="H38" s="4">
        <f t="shared" si="12"/>
        <v>0</v>
      </c>
      <c r="I38" s="4">
        <f t="shared" si="12"/>
        <v>0</v>
      </c>
      <c r="J38" s="4">
        <f t="shared" si="12"/>
        <v>0</v>
      </c>
      <c r="K38" s="4">
        <f t="shared" si="12"/>
        <v>0</v>
      </c>
      <c r="L38" s="4">
        <f t="shared" si="12"/>
        <v>0</v>
      </c>
      <c r="M38" s="4">
        <f t="shared" si="12"/>
        <v>0</v>
      </c>
      <c r="N38" s="4">
        <f t="shared" si="12"/>
        <v>-115</v>
      </c>
    </row>
    <row r="39" spans="1:14" x14ac:dyDescent="0.2">
      <c r="A39" s="54" t="s">
        <v>67</v>
      </c>
      <c r="B39" s="4">
        <f>VLOOKUP(A39,ES_INICIO!$1:$1048576,8,FALSE)</f>
        <v>-166.59691189672714</v>
      </c>
      <c r="C39" s="4">
        <f t="shared" ref="C39:N39" si="13">C12-B12</f>
        <v>0</v>
      </c>
      <c r="D39" s="4">
        <f t="shared" si="13"/>
        <v>0</v>
      </c>
      <c r="E39" s="4">
        <f t="shared" si="13"/>
        <v>0</v>
      </c>
      <c r="F39" s="4">
        <f t="shared" si="13"/>
        <v>0</v>
      </c>
      <c r="G39" s="4">
        <f t="shared" si="13"/>
        <v>0</v>
      </c>
      <c r="H39" s="4">
        <f t="shared" si="13"/>
        <v>0</v>
      </c>
      <c r="I39" s="4">
        <f t="shared" si="13"/>
        <v>0</v>
      </c>
      <c r="J39" s="4">
        <f t="shared" si="13"/>
        <v>0</v>
      </c>
      <c r="K39" s="4">
        <f t="shared" si="13"/>
        <v>0</v>
      </c>
      <c r="L39" s="4">
        <f t="shared" si="13"/>
        <v>0</v>
      </c>
      <c r="M39" s="4">
        <f t="shared" si="13"/>
        <v>0</v>
      </c>
      <c r="N39" s="4">
        <f t="shared" si="13"/>
        <v>0</v>
      </c>
    </row>
    <row r="40" spans="1:14" x14ac:dyDescent="0.2">
      <c r="A40" s="3" t="s">
        <v>9</v>
      </c>
      <c r="B40" s="4">
        <f>VLOOKUP(A40,ES_INICIO!$1:$1048576,8,FALSE)</f>
        <v>-14820.187330237228</v>
      </c>
      <c r="C40" s="4">
        <f t="shared" ref="C40:N40" si="14">C13-B13</f>
        <v>0</v>
      </c>
      <c r="D40" s="4">
        <f t="shared" si="14"/>
        <v>0</v>
      </c>
      <c r="E40" s="4">
        <f t="shared" si="14"/>
        <v>0</v>
      </c>
      <c r="F40" s="4">
        <f t="shared" si="14"/>
        <v>0</v>
      </c>
      <c r="G40" s="4">
        <f t="shared" si="14"/>
        <v>0</v>
      </c>
      <c r="H40" s="4">
        <f t="shared" si="14"/>
        <v>0</v>
      </c>
      <c r="I40" s="4">
        <f t="shared" si="14"/>
        <v>0</v>
      </c>
      <c r="J40" s="4">
        <f t="shared" si="14"/>
        <v>0</v>
      </c>
      <c r="K40" s="4">
        <f t="shared" si="14"/>
        <v>0</v>
      </c>
      <c r="L40" s="4">
        <f t="shared" si="14"/>
        <v>0</v>
      </c>
      <c r="M40" s="4">
        <f t="shared" si="14"/>
        <v>0</v>
      </c>
      <c r="N40" s="4">
        <f t="shared" si="14"/>
        <v>0</v>
      </c>
    </row>
    <row r="41" spans="1:14" x14ac:dyDescent="0.2">
      <c r="A41" s="3" t="s">
        <v>39</v>
      </c>
      <c r="B41" s="4">
        <f>VLOOKUP(A41,ES_INICIO!$1:$1048576,8,FALSE)</f>
        <v>0</v>
      </c>
      <c r="C41" s="4">
        <f t="shared" ref="C41:N41" si="15">C14-B14</f>
        <v>0</v>
      </c>
      <c r="D41" s="4">
        <f t="shared" si="15"/>
        <v>0</v>
      </c>
      <c r="E41" s="4">
        <f t="shared" si="15"/>
        <v>0</v>
      </c>
      <c r="F41" s="4">
        <f t="shared" si="15"/>
        <v>0</v>
      </c>
      <c r="G41" s="4">
        <f t="shared" si="15"/>
        <v>0</v>
      </c>
      <c r="H41" s="4">
        <f t="shared" si="15"/>
        <v>0</v>
      </c>
      <c r="I41" s="4">
        <f t="shared" si="15"/>
        <v>0</v>
      </c>
      <c r="J41" s="4">
        <f t="shared" si="15"/>
        <v>0</v>
      </c>
      <c r="K41" s="4">
        <f t="shared" si="15"/>
        <v>0</v>
      </c>
      <c r="L41" s="4">
        <f t="shared" si="15"/>
        <v>0</v>
      </c>
      <c r="M41" s="4">
        <f t="shared" si="15"/>
        <v>0</v>
      </c>
      <c r="N41" s="4">
        <f t="shared" si="15"/>
        <v>0</v>
      </c>
    </row>
    <row r="42" spans="1:14" x14ac:dyDescent="0.2">
      <c r="A42" s="3" t="s">
        <v>10</v>
      </c>
      <c r="B42" s="4">
        <f>VLOOKUP(A42,ES_INICIO!$1:$1048576,8,FALSE)</f>
        <v>-180</v>
      </c>
      <c r="C42" s="4">
        <f t="shared" ref="C42:N42" si="16">C15-B15</f>
        <v>0</v>
      </c>
      <c r="D42" s="4">
        <f t="shared" si="16"/>
        <v>0</v>
      </c>
      <c r="E42" s="4">
        <f t="shared" si="16"/>
        <v>0</v>
      </c>
      <c r="F42" s="4">
        <f t="shared" si="16"/>
        <v>-7.5</v>
      </c>
      <c r="G42" s="4">
        <f t="shared" si="16"/>
        <v>0</v>
      </c>
      <c r="H42" s="4">
        <f t="shared" si="16"/>
        <v>0</v>
      </c>
      <c r="I42" s="4">
        <f t="shared" si="16"/>
        <v>0</v>
      </c>
      <c r="J42" s="4">
        <f t="shared" si="16"/>
        <v>0</v>
      </c>
      <c r="K42" s="4">
        <f t="shared" si="16"/>
        <v>0</v>
      </c>
      <c r="L42" s="4">
        <f t="shared" si="16"/>
        <v>0</v>
      </c>
      <c r="M42" s="4">
        <f t="shared" si="16"/>
        <v>0</v>
      </c>
      <c r="N42" s="4">
        <f t="shared" si="16"/>
        <v>0</v>
      </c>
    </row>
    <row r="43" spans="1:14" x14ac:dyDescent="0.2">
      <c r="A43" s="3" t="s">
        <v>11</v>
      </c>
      <c r="B43" s="4">
        <f>VLOOKUP(A43,ES_INICIO!$1:$1048576,8,FALSE)</f>
        <v>11700.396594547046</v>
      </c>
      <c r="C43" s="4">
        <f t="shared" ref="C43:N43" si="17">C16-B16</f>
        <v>0</v>
      </c>
      <c r="D43" s="4">
        <f t="shared" si="17"/>
        <v>0</v>
      </c>
      <c r="E43" s="4">
        <f t="shared" si="17"/>
        <v>0</v>
      </c>
      <c r="F43" s="4">
        <f t="shared" si="17"/>
        <v>607.5</v>
      </c>
      <c r="G43" s="4">
        <f t="shared" si="17"/>
        <v>0</v>
      </c>
      <c r="H43" s="4">
        <f t="shared" si="17"/>
        <v>0</v>
      </c>
      <c r="I43" s="4">
        <f t="shared" si="17"/>
        <v>0</v>
      </c>
      <c r="J43" s="4">
        <f t="shared" si="17"/>
        <v>0</v>
      </c>
      <c r="K43" s="4">
        <f t="shared" si="17"/>
        <v>0</v>
      </c>
      <c r="L43" s="4">
        <f t="shared" si="17"/>
        <v>0</v>
      </c>
      <c r="M43" s="4">
        <f t="shared" si="17"/>
        <v>0</v>
      </c>
      <c r="N43" s="4">
        <f t="shared" si="17"/>
        <v>0</v>
      </c>
    </row>
    <row r="44" spans="1:14" x14ac:dyDescent="0.2">
      <c r="A44" s="3" t="s">
        <v>12</v>
      </c>
      <c r="C44" s="4">
        <f t="shared" ref="C44:N44" si="18">C17-B17</f>
        <v>-117</v>
      </c>
      <c r="D44" s="4">
        <f t="shared" si="18"/>
        <v>-124</v>
      </c>
      <c r="E44" s="4">
        <f t="shared" si="18"/>
        <v>-233.5</v>
      </c>
      <c r="F44" s="4">
        <f t="shared" si="18"/>
        <v>-140</v>
      </c>
      <c r="G44" s="4">
        <f t="shared" si="18"/>
        <v>-150</v>
      </c>
      <c r="H44" s="4">
        <f t="shared" si="18"/>
        <v>-264.5</v>
      </c>
      <c r="I44" s="4">
        <f t="shared" si="18"/>
        <v>-175</v>
      </c>
      <c r="J44" s="4">
        <f t="shared" si="18"/>
        <v>-131</v>
      </c>
      <c r="K44" s="4">
        <f t="shared" si="18"/>
        <v>-150</v>
      </c>
      <c r="L44" s="4">
        <f t="shared" si="18"/>
        <v>-300</v>
      </c>
      <c r="M44" s="4">
        <f t="shared" si="18"/>
        <v>-263</v>
      </c>
      <c r="N44" s="4">
        <f t="shared" si="18"/>
        <v>-257</v>
      </c>
    </row>
    <row r="45" spans="1:14" x14ac:dyDescent="0.2">
      <c r="A45" s="3" t="s">
        <v>13</v>
      </c>
      <c r="C45" s="4">
        <f t="shared" ref="C45:N45" si="19">C18-B18</f>
        <v>0</v>
      </c>
      <c r="D45" s="4">
        <f t="shared" si="19"/>
        <v>0</v>
      </c>
      <c r="E45" s="4">
        <f t="shared" si="19"/>
        <v>0</v>
      </c>
      <c r="F45" s="4">
        <f t="shared" si="19"/>
        <v>0</v>
      </c>
      <c r="G45" s="4">
        <f t="shared" si="19"/>
        <v>0</v>
      </c>
      <c r="H45" s="4">
        <f t="shared" si="19"/>
        <v>0</v>
      </c>
      <c r="I45" s="4">
        <f t="shared" si="19"/>
        <v>0</v>
      </c>
      <c r="J45" s="4">
        <f t="shared" si="19"/>
        <v>0</v>
      </c>
      <c r="K45" s="4">
        <f t="shared" si="19"/>
        <v>0</v>
      </c>
      <c r="L45" s="4">
        <f t="shared" si="19"/>
        <v>0</v>
      </c>
      <c r="M45" s="4">
        <f t="shared" si="19"/>
        <v>0</v>
      </c>
      <c r="N45" s="4">
        <f t="shared" si="19"/>
        <v>0</v>
      </c>
    </row>
    <row r="46" spans="1:14" x14ac:dyDescent="0.2">
      <c r="A46" s="3" t="s">
        <v>14</v>
      </c>
      <c r="C46" s="4">
        <f t="shared" ref="C46:N46" si="20">C19-B19</f>
        <v>16</v>
      </c>
      <c r="D46" s="4">
        <f t="shared" si="20"/>
        <v>17</v>
      </c>
      <c r="E46" s="4">
        <f t="shared" si="20"/>
        <v>18</v>
      </c>
      <c r="F46" s="4">
        <f t="shared" si="20"/>
        <v>19</v>
      </c>
      <c r="G46" s="4">
        <f t="shared" si="20"/>
        <v>20</v>
      </c>
      <c r="H46" s="4">
        <f t="shared" si="20"/>
        <v>22</v>
      </c>
      <c r="I46" s="4">
        <f t="shared" si="20"/>
        <v>24</v>
      </c>
      <c r="J46" s="4">
        <f t="shared" si="20"/>
        <v>18</v>
      </c>
      <c r="K46" s="4">
        <f t="shared" si="20"/>
        <v>20</v>
      </c>
      <c r="L46" s="4">
        <f t="shared" si="20"/>
        <v>41</v>
      </c>
      <c r="M46" s="4">
        <f t="shared" si="20"/>
        <v>36</v>
      </c>
      <c r="N46" s="4">
        <f t="shared" si="20"/>
        <v>34</v>
      </c>
    </row>
    <row r="47" spans="1:14" x14ac:dyDescent="0.2">
      <c r="A47" s="3" t="s">
        <v>15</v>
      </c>
      <c r="C47" s="4">
        <f t="shared" ref="C47:N47" si="21">C20-B20</f>
        <v>7.9833333333333334</v>
      </c>
      <c r="D47" s="4">
        <f t="shared" si="21"/>
        <v>7.9833333333333334</v>
      </c>
      <c r="E47" s="4">
        <f t="shared" si="21"/>
        <v>7.9833333333333325</v>
      </c>
      <c r="F47" s="4">
        <f t="shared" si="21"/>
        <v>7.9833333333333343</v>
      </c>
      <c r="G47" s="4">
        <f t="shared" si="21"/>
        <v>7.9833333333333307</v>
      </c>
      <c r="H47" s="4">
        <f t="shared" si="21"/>
        <v>7.9833333333333343</v>
      </c>
      <c r="I47" s="4">
        <f t="shared" si="21"/>
        <v>7.9833333333333343</v>
      </c>
      <c r="J47" s="4">
        <f t="shared" si="21"/>
        <v>7.9833333333333343</v>
      </c>
      <c r="K47" s="4">
        <f t="shared" si="21"/>
        <v>7.9833333333333272</v>
      </c>
      <c r="L47" s="4">
        <f t="shared" si="21"/>
        <v>7.9833333333333343</v>
      </c>
      <c r="M47" s="4">
        <f t="shared" si="21"/>
        <v>7.9833333333333343</v>
      </c>
      <c r="N47" s="4">
        <f t="shared" si="21"/>
        <v>7.9833333333333343</v>
      </c>
    </row>
    <row r="48" spans="1:14" x14ac:dyDescent="0.2">
      <c r="A48" s="3" t="s">
        <v>16</v>
      </c>
      <c r="C48" s="4">
        <f t="shared" ref="C48:N48" si="22">C21-B21</f>
        <v>0</v>
      </c>
      <c r="D48" s="4">
        <f t="shared" si="22"/>
        <v>0</v>
      </c>
      <c r="E48" s="4">
        <f t="shared" si="22"/>
        <v>0</v>
      </c>
      <c r="F48" s="4">
        <f t="shared" si="22"/>
        <v>-54</v>
      </c>
      <c r="G48" s="4">
        <f t="shared" si="22"/>
        <v>-90</v>
      </c>
      <c r="H48" s="4">
        <f t="shared" si="22"/>
        <v>-90</v>
      </c>
      <c r="I48" s="4">
        <f t="shared" si="22"/>
        <v>-72</v>
      </c>
      <c r="J48" s="4">
        <f t="shared" si="22"/>
        <v>-27</v>
      </c>
      <c r="K48" s="4">
        <f t="shared" si="22"/>
        <v>81</v>
      </c>
      <c r="L48" s="4">
        <f t="shared" si="22"/>
        <v>9</v>
      </c>
      <c r="M48" s="4">
        <f t="shared" si="22"/>
        <v>-42</v>
      </c>
      <c r="N48" s="4">
        <f t="shared" si="22"/>
        <v>-28</v>
      </c>
    </row>
    <row r="49" spans="1:14" x14ac:dyDescent="0.2">
      <c r="A49" s="3" t="s">
        <v>87</v>
      </c>
      <c r="C49" s="4">
        <f t="shared" ref="C49:N49" si="23">C22-B22</f>
        <v>0</v>
      </c>
      <c r="D49" s="4">
        <f t="shared" si="23"/>
        <v>0</v>
      </c>
      <c r="E49" s="4">
        <f t="shared" si="23"/>
        <v>0</v>
      </c>
      <c r="F49" s="4">
        <f t="shared" si="23"/>
        <v>0</v>
      </c>
      <c r="G49" s="4">
        <f t="shared" si="23"/>
        <v>0</v>
      </c>
      <c r="H49" s="4">
        <f t="shared" si="23"/>
        <v>0</v>
      </c>
      <c r="I49" s="4">
        <f t="shared" si="23"/>
        <v>0</v>
      </c>
      <c r="J49" s="4">
        <f t="shared" si="23"/>
        <v>0</v>
      </c>
      <c r="K49" s="4">
        <f t="shared" si="23"/>
        <v>0</v>
      </c>
      <c r="L49" s="4">
        <f t="shared" si="23"/>
        <v>0</v>
      </c>
      <c r="M49" s="4">
        <f t="shared" si="23"/>
        <v>0</v>
      </c>
      <c r="N49" s="4">
        <f t="shared" si="23"/>
        <v>0</v>
      </c>
    </row>
    <row r="50" spans="1:14" x14ac:dyDescent="0.2">
      <c r="A50" s="3" t="s">
        <v>17</v>
      </c>
      <c r="C50" s="4">
        <f t="shared" ref="C50:N50" si="24">C23-B23</f>
        <v>0</v>
      </c>
      <c r="D50" s="4">
        <f t="shared" si="24"/>
        <v>0</v>
      </c>
      <c r="E50" s="4">
        <f t="shared" si="24"/>
        <v>0</v>
      </c>
      <c r="F50" s="4">
        <f t="shared" si="24"/>
        <v>16.041666666666668</v>
      </c>
      <c r="G50" s="4">
        <f t="shared" si="24"/>
        <v>15.858741748968178</v>
      </c>
      <c r="H50" s="4">
        <f t="shared" si="24"/>
        <v>15.667432772541847</v>
      </c>
      <c r="I50" s="4">
        <f t="shared" si="24"/>
        <v>15.467355468029304</v>
      </c>
      <c r="J50" s="4">
        <f t="shared" si="24"/>
        <v>15.258107953726608</v>
      </c>
      <c r="K50" s="4">
        <f t="shared" si="24"/>
        <v>15.0392699283517</v>
      </c>
      <c r="L50" s="4">
        <f t="shared" si="24"/>
        <v>14.810401826813788</v>
      </c>
      <c r="M50" s="4">
        <f t="shared" si="24"/>
        <v>14.571043937288707</v>
      </c>
      <c r="N50" s="4">
        <f t="shared" si="24"/>
        <v>14.320715477827051</v>
      </c>
    </row>
    <row r="51" spans="1:14" x14ac:dyDescent="0.2">
      <c r="A51" s="3" t="s">
        <v>18</v>
      </c>
      <c r="C51" s="4">
        <f t="shared" ref="C51:N51" si="25">C24-B24</f>
        <v>0</v>
      </c>
      <c r="D51" s="4">
        <f t="shared" si="25"/>
        <v>0</v>
      </c>
      <c r="E51" s="4">
        <f t="shared" si="25"/>
        <v>0</v>
      </c>
      <c r="F51" s="4">
        <f t="shared" si="25"/>
        <v>0</v>
      </c>
      <c r="G51" s="4">
        <f t="shared" si="25"/>
        <v>0</v>
      </c>
      <c r="H51" s="4">
        <f t="shared" si="25"/>
        <v>0</v>
      </c>
      <c r="I51" s="4">
        <f t="shared" si="25"/>
        <v>0</v>
      </c>
      <c r="J51" s="4">
        <f t="shared" si="25"/>
        <v>0</v>
      </c>
      <c r="K51" s="4">
        <f t="shared" si="25"/>
        <v>0</v>
      </c>
      <c r="L51" s="4">
        <f t="shared" si="25"/>
        <v>0</v>
      </c>
      <c r="M51" s="4">
        <f t="shared" si="25"/>
        <v>0</v>
      </c>
      <c r="N51" s="4">
        <f t="shared" si="25"/>
        <v>115</v>
      </c>
    </row>
    <row r="52" spans="1:14" x14ac:dyDescent="0.2">
      <c r="A52" s="3" t="s">
        <v>81</v>
      </c>
      <c r="C52" s="4">
        <f t="shared" ref="C52:N52" si="26">C25-B25</f>
        <v>0</v>
      </c>
      <c r="D52" s="4">
        <f t="shared" si="26"/>
        <v>0</v>
      </c>
      <c r="E52" s="4">
        <f t="shared" si="26"/>
        <v>0</v>
      </c>
      <c r="F52" s="4">
        <f t="shared" si="26"/>
        <v>0</v>
      </c>
      <c r="G52" s="4">
        <f t="shared" si="26"/>
        <v>0</v>
      </c>
      <c r="H52" s="4">
        <f t="shared" si="26"/>
        <v>0</v>
      </c>
      <c r="I52" s="4">
        <f t="shared" si="26"/>
        <v>0</v>
      </c>
      <c r="J52" s="4">
        <f t="shared" si="26"/>
        <v>0</v>
      </c>
      <c r="K52" s="4">
        <f t="shared" si="26"/>
        <v>0</v>
      </c>
      <c r="L52" s="4">
        <f t="shared" si="26"/>
        <v>0</v>
      </c>
      <c r="M52" s="4">
        <f t="shared" si="26"/>
        <v>0</v>
      </c>
      <c r="N52" s="4">
        <f t="shared" si="26"/>
        <v>0</v>
      </c>
    </row>
    <row r="54" spans="1:14" x14ac:dyDescent="0.2">
      <c r="A54" s="52" t="s">
        <v>72</v>
      </c>
      <c r="B54" s="53">
        <v>43070</v>
      </c>
      <c r="C54" s="53">
        <v>43101</v>
      </c>
      <c r="D54" s="53">
        <v>43132</v>
      </c>
      <c r="E54" s="53">
        <v>43160</v>
      </c>
      <c r="F54" s="53">
        <v>43191</v>
      </c>
      <c r="G54" s="53">
        <v>43221</v>
      </c>
      <c r="H54" s="53">
        <v>43252</v>
      </c>
      <c r="I54" s="53">
        <v>43282</v>
      </c>
      <c r="J54" s="53">
        <v>43313</v>
      </c>
      <c r="K54" s="53">
        <v>43344</v>
      </c>
      <c r="L54" s="53">
        <v>43374</v>
      </c>
      <c r="M54" s="53">
        <v>43405</v>
      </c>
      <c r="N54" s="53">
        <v>43435</v>
      </c>
    </row>
    <row r="55" spans="1:14" x14ac:dyDescent="0.2">
      <c r="A55" s="3" t="s">
        <v>0</v>
      </c>
      <c r="B55" s="42">
        <f>VLOOKUP($B$54,'ipc empalme ipim'!$A:$B,2,FALSE)</f>
        <v>124.79559999999999</v>
      </c>
      <c r="C55" s="42">
        <f>VLOOKUP($C$54,'ipc empalme ipim'!$A:$B,2,FALSE)</f>
        <v>126.98869999999999</v>
      </c>
      <c r="D55" s="42">
        <f>VLOOKUP($D$54,'ipc empalme ipim'!$A:$B,2,FALSE)</f>
        <v>130.06059999999999</v>
      </c>
      <c r="E55" s="42">
        <f>VLOOKUP($E$54,'ipc empalme ipim'!$A:$B,2,FALSE)</f>
        <v>133.1054</v>
      </c>
      <c r="F55" s="42">
        <f>VLOOKUP($F$54,'ipc empalme ipim'!$A:$B,2,FALSE)</f>
        <v>136.75120000000001</v>
      </c>
      <c r="G55" s="42">
        <f>VLOOKUP($G$54,'ipc empalme ipim'!$A:$B,2,FALSE)</f>
        <v>139.58930000000001</v>
      </c>
      <c r="H55" s="42">
        <f>VLOOKUP($H$54,'ipc empalme ipim'!$A:$B,2,FALSE)</f>
        <v>144.80529999999999</v>
      </c>
      <c r="I55" s="42">
        <f>VLOOKUP($I$54,'ipc empalme ipim'!$A:$B,2,FALSE)</f>
        <v>149.29660000000001</v>
      </c>
      <c r="J55" s="42">
        <f>VLOOKUP($J$54,'ipc empalme ipim'!$A:$B,2,FALSE)</f>
        <v>155.10339999999999</v>
      </c>
      <c r="K55" s="42">
        <f>VLOOKUP($K$54,'ipc empalme ipim'!$A:$B,2,FALSE)</f>
        <v>165.23830000000001</v>
      </c>
      <c r="L55" s="42">
        <f>VLOOKUP($L$54,'ipc empalme ipim'!$A:$B,2,FALSE)</f>
        <v>174.1473</v>
      </c>
      <c r="M55" s="42">
        <f>VLOOKUP($M$54,'ipc empalme ipim'!$A:$B,2,FALSE)</f>
        <v>179.6388</v>
      </c>
      <c r="N55" s="42">
        <f>VLOOKUP($N$54,'ipc empalme ipim'!$A:$B,2,FALSE)</f>
        <v>184.2552</v>
      </c>
    </row>
    <row r="56" spans="1:14" x14ac:dyDescent="0.2">
      <c r="A56" s="3" t="s">
        <v>1</v>
      </c>
      <c r="B56" s="42">
        <f>VLOOKUP($B$54,'ipc empalme ipim'!$A:$B,2,FALSE)</f>
        <v>124.79559999999999</v>
      </c>
      <c r="C56" s="42">
        <f>VLOOKUP($C$54,'ipc empalme ipim'!$A:$B,2,FALSE)</f>
        <v>126.98869999999999</v>
      </c>
      <c r="D56" s="42">
        <f>VLOOKUP($D$54,'ipc empalme ipim'!$A:$B,2,FALSE)</f>
        <v>130.06059999999999</v>
      </c>
      <c r="E56" s="42">
        <f>VLOOKUP($E$54,'ipc empalme ipim'!$A:$B,2,FALSE)</f>
        <v>133.1054</v>
      </c>
      <c r="F56" s="42">
        <f>VLOOKUP($F$54,'ipc empalme ipim'!$A:$B,2,FALSE)</f>
        <v>136.75120000000001</v>
      </c>
      <c r="G56" s="42">
        <f>VLOOKUP($G$54,'ipc empalme ipim'!$A:$B,2,FALSE)</f>
        <v>139.58930000000001</v>
      </c>
      <c r="H56" s="42">
        <f>VLOOKUP($H$54,'ipc empalme ipim'!$A:$B,2,FALSE)</f>
        <v>144.80529999999999</v>
      </c>
      <c r="I56" s="42">
        <f>VLOOKUP($I$54,'ipc empalme ipim'!$A:$B,2,FALSE)</f>
        <v>149.29660000000001</v>
      </c>
      <c r="J56" s="42">
        <f>VLOOKUP($J$54,'ipc empalme ipim'!$A:$B,2,FALSE)</f>
        <v>155.10339999999999</v>
      </c>
      <c r="K56" s="42">
        <f>VLOOKUP($K$54,'ipc empalme ipim'!$A:$B,2,FALSE)</f>
        <v>165.23830000000001</v>
      </c>
      <c r="L56" s="42">
        <f>VLOOKUP($L$54,'ipc empalme ipim'!$A:$B,2,FALSE)</f>
        <v>174.1473</v>
      </c>
      <c r="M56" s="42">
        <f>VLOOKUP($M$54,'ipc empalme ipim'!$A:$B,2,FALSE)</f>
        <v>179.6388</v>
      </c>
      <c r="N56" s="42">
        <f>VLOOKUP($N$54,'ipc empalme ipim'!$A:$B,2,FALSE)</f>
        <v>184.2552</v>
      </c>
    </row>
    <row r="57" spans="1:14" x14ac:dyDescent="0.2">
      <c r="A57" s="3" t="s">
        <v>2</v>
      </c>
      <c r="B57" s="42">
        <f>VLOOKUP($B$54,'ipc empalme ipim'!$A:$B,2,FALSE)</f>
        <v>124.79559999999999</v>
      </c>
      <c r="C57" s="42">
        <f>VLOOKUP($C$54,'ipc empalme ipim'!$A:$B,2,FALSE)</f>
        <v>126.98869999999999</v>
      </c>
      <c r="D57" s="42">
        <f>VLOOKUP($D$54,'ipc empalme ipim'!$A:$B,2,FALSE)</f>
        <v>130.06059999999999</v>
      </c>
      <c r="E57" s="42">
        <f>VLOOKUP($E$54,'ipc empalme ipim'!$A:$B,2,FALSE)</f>
        <v>133.1054</v>
      </c>
      <c r="F57" s="42">
        <f>VLOOKUP($F$54,'ipc empalme ipim'!$A:$B,2,FALSE)</f>
        <v>136.75120000000001</v>
      </c>
      <c r="G57" s="42">
        <f>VLOOKUP($G$54,'ipc empalme ipim'!$A:$B,2,FALSE)</f>
        <v>139.58930000000001</v>
      </c>
      <c r="H57" s="42">
        <f>VLOOKUP($H$54,'ipc empalme ipim'!$A:$B,2,FALSE)</f>
        <v>144.80529999999999</v>
      </c>
      <c r="I57" s="42">
        <f>VLOOKUP($I$54,'ipc empalme ipim'!$A:$B,2,FALSE)</f>
        <v>149.29660000000001</v>
      </c>
      <c r="J57" s="42">
        <f>VLOOKUP($J$54,'ipc empalme ipim'!$A:$B,2,FALSE)</f>
        <v>155.10339999999999</v>
      </c>
      <c r="K57" s="42">
        <f>VLOOKUP($K$54,'ipc empalme ipim'!$A:$B,2,FALSE)</f>
        <v>165.23830000000001</v>
      </c>
      <c r="L57" s="42">
        <f>VLOOKUP($L$54,'ipc empalme ipim'!$A:$B,2,FALSE)</f>
        <v>174.1473</v>
      </c>
      <c r="M57" s="42">
        <f>VLOOKUP($M$54,'ipc empalme ipim'!$A:$B,2,FALSE)</f>
        <v>179.6388</v>
      </c>
      <c r="N57" s="42">
        <f>VLOOKUP($N$54,'ipc empalme ipim'!$A:$B,2,FALSE)</f>
        <v>184.2552</v>
      </c>
    </row>
    <row r="58" spans="1:14" x14ac:dyDescent="0.2">
      <c r="A58" s="3" t="s">
        <v>3</v>
      </c>
      <c r="B58" s="42">
        <f>VLOOKUP($B$54,'ipc empalme ipim'!$A:$B,2,FALSE)</f>
        <v>124.79559999999999</v>
      </c>
      <c r="C58" s="42">
        <f>VLOOKUP($C$54,'ipc empalme ipim'!$A:$B,2,FALSE)</f>
        <v>126.98869999999999</v>
      </c>
      <c r="D58" s="42">
        <f>VLOOKUP($D$54,'ipc empalme ipim'!$A:$B,2,FALSE)</f>
        <v>130.06059999999999</v>
      </c>
      <c r="E58" s="42">
        <f>VLOOKUP($E$54,'ipc empalme ipim'!$A:$B,2,FALSE)</f>
        <v>133.1054</v>
      </c>
      <c r="F58" s="42">
        <f>VLOOKUP($F$54,'ipc empalme ipim'!$A:$B,2,FALSE)</f>
        <v>136.75120000000001</v>
      </c>
      <c r="G58" s="42">
        <f>VLOOKUP($G$54,'ipc empalme ipim'!$A:$B,2,FALSE)</f>
        <v>139.58930000000001</v>
      </c>
      <c r="H58" s="42">
        <f>VLOOKUP($H$54,'ipc empalme ipim'!$A:$B,2,FALSE)</f>
        <v>144.80529999999999</v>
      </c>
      <c r="I58" s="42">
        <f>VLOOKUP($I$54,'ipc empalme ipim'!$A:$B,2,FALSE)</f>
        <v>149.29660000000001</v>
      </c>
      <c r="J58" s="42">
        <f>VLOOKUP($J$54,'ipc empalme ipim'!$A:$B,2,FALSE)</f>
        <v>155.10339999999999</v>
      </c>
      <c r="K58" s="42">
        <f>VLOOKUP($K$54,'ipc empalme ipim'!$A:$B,2,FALSE)</f>
        <v>165.23830000000001</v>
      </c>
      <c r="L58" s="42">
        <f>VLOOKUP($L$54,'ipc empalme ipim'!$A:$B,2,FALSE)</f>
        <v>174.1473</v>
      </c>
      <c r="M58" s="42">
        <f>VLOOKUP($M$54,'ipc empalme ipim'!$A:$B,2,FALSE)</f>
        <v>179.6388</v>
      </c>
      <c r="N58" s="42">
        <f>VLOOKUP($N$54,'ipc empalme ipim'!$A:$B,2,FALSE)</f>
        <v>184.2552</v>
      </c>
    </row>
    <row r="59" spans="1:14" x14ac:dyDescent="0.2">
      <c r="A59" s="3" t="s">
        <v>19</v>
      </c>
      <c r="B59" s="42">
        <f>VLOOKUP($B$54,'ipc empalme ipim'!$A:$B,2,FALSE)</f>
        <v>124.79559999999999</v>
      </c>
      <c r="C59" s="42">
        <f>VLOOKUP($C$54,'ipc empalme ipim'!$A:$B,2,FALSE)</f>
        <v>126.98869999999999</v>
      </c>
      <c r="D59" s="42">
        <f>VLOOKUP($D$54,'ipc empalme ipim'!$A:$B,2,FALSE)</f>
        <v>130.06059999999999</v>
      </c>
      <c r="E59" s="42">
        <f>VLOOKUP($E$54,'ipc empalme ipim'!$A:$B,2,FALSE)</f>
        <v>133.1054</v>
      </c>
      <c r="F59" s="42">
        <f>VLOOKUP($F$54,'ipc empalme ipim'!$A:$B,2,FALSE)</f>
        <v>136.75120000000001</v>
      </c>
      <c r="G59" s="42">
        <f>VLOOKUP($G$54,'ipc empalme ipim'!$A:$B,2,FALSE)</f>
        <v>139.58930000000001</v>
      </c>
      <c r="H59" s="42">
        <f>VLOOKUP($H$54,'ipc empalme ipim'!$A:$B,2,FALSE)</f>
        <v>144.80529999999999</v>
      </c>
      <c r="I59" s="42">
        <f>VLOOKUP($I$54,'ipc empalme ipim'!$A:$B,2,FALSE)</f>
        <v>149.29660000000001</v>
      </c>
      <c r="J59" s="42">
        <f>VLOOKUP($J$54,'ipc empalme ipim'!$A:$B,2,FALSE)</f>
        <v>155.10339999999999</v>
      </c>
      <c r="K59" s="42">
        <f>VLOOKUP($K$54,'ipc empalme ipim'!$A:$B,2,FALSE)</f>
        <v>165.23830000000001</v>
      </c>
      <c r="L59" s="42">
        <f>VLOOKUP($L$54,'ipc empalme ipim'!$A:$B,2,FALSE)</f>
        <v>174.1473</v>
      </c>
      <c r="M59" s="42">
        <f>VLOOKUP($M$54,'ipc empalme ipim'!$A:$B,2,FALSE)</f>
        <v>179.6388</v>
      </c>
      <c r="N59" s="42">
        <f>VLOOKUP($N$54,'ipc empalme ipim'!$A:$B,2,FALSE)</f>
        <v>184.2552</v>
      </c>
    </row>
    <row r="60" spans="1:14" x14ac:dyDescent="0.2">
      <c r="A60" s="3" t="s">
        <v>4</v>
      </c>
      <c r="B60" s="42">
        <f>VLOOKUP($B$54,'ipc empalme ipim'!$A:$B,2,FALSE)</f>
        <v>124.79559999999999</v>
      </c>
      <c r="C60" s="42">
        <f>VLOOKUP($C$54,'ipc empalme ipim'!$A:$B,2,FALSE)</f>
        <v>126.98869999999999</v>
      </c>
      <c r="D60" s="42">
        <f>VLOOKUP($D$54,'ipc empalme ipim'!$A:$B,2,FALSE)</f>
        <v>130.06059999999999</v>
      </c>
      <c r="E60" s="42">
        <f>VLOOKUP($E$54,'ipc empalme ipim'!$A:$B,2,FALSE)</f>
        <v>133.1054</v>
      </c>
      <c r="F60" s="42">
        <f>VLOOKUP($F$54,'ipc empalme ipim'!$A:$B,2,FALSE)</f>
        <v>136.75120000000001</v>
      </c>
      <c r="G60" s="42">
        <f>VLOOKUP($G$54,'ipc empalme ipim'!$A:$B,2,FALSE)</f>
        <v>139.58930000000001</v>
      </c>
      <c r="H60" s="42">
        <f>VLOOKUP($H$54,'ipc empalme ipim'!$A:$B,2,FALSE)</f>
        <v>144.80529999999999</v>
      </c>
      <c r="I60" s="42">
        <f>VLOOKUP($I$54,'ipc empalme ipim'!$A:$B,2,FALSE)</f>
        <v>149.29660000000001</v>
      </c>
      <c r="J60" s="42">
        <f>VLOOKUP($J$54,'ipc empalme ipim'!$A:$B,2,FALSE)</f>
        <v>155.10339999999999</v>
      </c>
      <c r="K60" s="42">
        <f>VLOOKUP($K$54,'ipc empalme ipim'!$A:$B,2,FALSE)</f>
        <v>165.23830000000001</v>
      </c>
      <c r="L60" s="42">
        <f>VLOOKUP($L$54,'ipc empalme ipim'!$A:$B,2,FALSE)</f>
        <v>174.1473</v>
      </c>
      <c r="M60" s="42">
        <f>VLOOKUP($M$54,'ipc empalme ipim'!$A:$B,2,FALSE)</f>
        <v>179.6388</v>
      </c>
      <c r="N60" s="42">
        <f>VLOOKUP($N$54,'ipc empalme ipim'!$A:$B,2,FALSE)</f>
        <v>184.2552</v>
      </c>
    </row>
    <row r="61" spans="1:14" x14ac:dyDescent="0.2">
      <c r="A61" s="3" t="s">
        <v>5</v>
      </c>
      <c r="B61" s="42">
        <f>VLOOKUP($B$54,'ipc empalme ipim'!$A:$B,2,FALSE)</f>
        <v>124.79559999999999</v>
      </c>
      <c r="C61" s="42">
        <f>VLOOKUP($C$54,'ipc empalme ipim'!$A:$B,2,FALSE)</f>
        <v>126.98869999999999</v>
      </c>
      <c r="D61" s="42">
        <f>VLOOKUP($D$54,'ipc empalme ipim'!$A:$B,2,FALSE)</f>
        <v>130.06059999999999</v>
      </c>
      <c r="E61" s="42">
        <f>VLOOKUP($E$54,'ipc empalme ipim'!$A:$B,2,FALSE)</f>
        <v>133.1054</v>
      </c>
      <c r="F61" s="42">
        <f>VLOOKUP($F$54,'ipc empalme ipim'!$A:$B,2,FALSE)</f>
        <v>136.75120000000001</v>
      </c>
      <c r="G61" s="42">
        <f>VLOOKUP($G$54,'ipc empalme ipim'!$A:$B,2,FALSE)</f>
        <v>139.58930000000001</v>
      </c>
      <c r="H61" s="42">
        <f>VLOOKUP($H$54,'ipc empalme ipim'!$A:$B,2,FALSE)</f>
        <v>144.80529999999999</v>
      </c>
      <c r="I61" s="42">
        <f>VLOOKUP($I$54,'ipc empalme ipim'!$A:$B,2,FALSE)</f>
        <v>149.29660000000001</v>
      </c>
      <c r="J61" s="42">
        <f>VLOOKUP($J$54,'ipc empalme ipim'!$A:$B,2,FALSE)</f>
        <v>155.10339999999999</v>
      </c>
      <c r="K61" s="42">
        <f>VLOOKUP($K$54,'ipc empalme ipim'!$A:$B,2,FALSE)</f>
        <v>165.23830000000001</v>
      </c>
      <c r="L61" s="42">
        <f>VLOOKUP($L$54,'ipc empalme ipim'!$A:$B,2,FALSE)</f>
        <v>174.1473</v>
      </c>
      <c r="M61" s="42">
        <f>VLOOKUP($M$54,'ipc empalme ipim'!$A:$B,2,FALSE)</f>
        <v>179.6388</v>
      </c>
      <c r="N61" s="42">
        <f>VLOOKUP($N$54,'ipc empalme ipim'!$A:$B,2,FALSE)</f>
        <v>184.2552</v>
      </c>
    </row>
    <row r="62" spans="1:14" x14ac:dyDescent="0.2">
      <c r="A62" s="3" t="s">
        <v>6</v>
      </c>
      <c r="B62" s="42">
        <f>VLOOKUP($B$54,'ipc empalme ipim'!$A:$B,2,FALSE)</f>
        <v>124.79559999999999</v>
      </c>
      <c r="C62" s="42">
        <f>VLOOKUP($C$54,'ipc empalme ipim'!$A:$B,2,FALSE)</f>
        <v>126.98869999999999</v>
      </c>
      <c r="D62" s="42">
        <f>VLOOKUP($D$54,'ipc empalme ipim'!$A:$B,2,FALSE)</f>
        <v>130.06059999999999</v>
      </c>
      <c r="E62" s="42">
        <f>VLOOKUP($E$54,'ipc empalme ipim'!$A:$B,2,FALSE)</f>
        <v>133.1054</v>
      </c>
      <c r="F62" s="42">
        <f>VLOOKUP($F$54,'ipc empalme ipim'!$A:$B,2,FALSE)</f>
        <v>136.75120000000001</v>
      </c>
      <c r="G62" s="42">
        <f>VLOOKUP($G$54,'ipc empalme ipim'!$A:$B,2,FALSE)</f>
        <v>139.58930000000001</v>
      </c>
      <c r="H62" s="42">
        <f>VLOOKUP($H$54,'ipc empalme ipim'!$A:$B,2,FALSE)</f>
        <v>144.80529999999999</v>
      </c>
      <c r="I62" s="42">
        <f>VLOOKUP($I$54,'ipc empalme ipim'!$A:$B,2,FALSE)</f>
        <v>149.29660000000001</v>
      </c>
      <c r="J62" s="42">
        <f>VLOOKUP($J$54,'ipc empalme ipim'!$A:$B,2,FALSE)</f>
        <v>155.10339999999999</v>
      </c>
      <c r="K62" s="42">
        <f>VLOOKUP($K$54,'ipc empalme ipim'!$A:$B,2,FALSE)</f>
        <v>165.23830000000001</v>
      </c>
      <c r="L62" s="42">
        <f>VLOOKUP($L$54,'ipc empalme ipim'!$A:$B,2,FALSE)</f>
        <v>174.1473</v>
      </c>
      <c r="M62" s="42">
        <f>VLOOKUP($M$54,'ipc empalme ipim'!$A:$B,2,FALSE)</f>
        <v>179.6388</v>
      </c>
      <c r="N62" s="42">
        <f>VLOOKUP($N$54,'ipc empalme ipim'!$A:$B,2,FALSE)</f>
        <v>184.2552</v>
      </c>
    </row>
    <row r="63" spans="1:14" x14ac:dyDescent="0.2">
      <c r="A63" s="3" t="s">
        <v>7</v>
      </c>
      <c r="B63" s="42">
        <f>VLOOKUP($B$54,'ipc empalme ipim'!$A:$B,2,FALSE)</f>
        <v>124.79559999999999</v>
      </c>
      <c r="C63" s="42">
        <f>VLOOKUP($C$54,'ipc empalme ipim'!$A:$B,2,FALSE)</f>
        <v>126.98869999999999</v>
      </c>
      <c r="D63" s="42">
        <f>VLOOKUP($D$54,'ipc empalme ipim'!$A:$B,2,FALSE)</f>
        <v>130.06059999999999</v>
      </c>
      <c r="E63" s="42">
        <f>VLOOKUP($E$54,'ipc empalme ipim'!$A:$B,2,FALSE)</f>
        <v>133.1054</v>
      </c>
      <c r="F63" s="42">
        <f>VLOOKUP($F$54,'ipc empalme ipim'!$A:$B,2,FALSE)</f>
        <v>136.75120000000001</v>
      </c>
      <c r="G63" s="42">
        <f>VLOOKUP($G$54,'ipc empalme ipim'!$A:$B,2,FALSE)</f>
        <v>139.58930000000001</v>
      </c>
      <c r="H63" s="42">
        <f>VLOOKUP($H$54,'ipc empalme ipim'!$A:$B,2,FALSE)</f>
        <v>144.80529999999999</v>
      </c>
      <c r="I63" s="42">
        <f>VLOOKUP($I$54,'ipc empalme ipim'!$A:$B,2,FALSE)</f>
        <v>149.29660000000001</v>
      </c>
      <c r="J63" s="42">
        <f>VLOOKUP($J$54,'ipc empalme ipim'!$A:$B,2,FALSE)</f>
        <v>155.10339999999999</v>
      </c>
      <c r="K63" s="42">
        <f>VLOOKUP($K$54,'ipc empalme ipim'!$A:$B,2,FALSE)</f>
        <v>165.23830000000001</v>
      </c>
      <c r="L63" s="42">
        <f>VLOOKUP($L$54,'ipc empalme ipim'!$A:$B,2,FALSE)</f>
        <v>174.1473</v>
      </c>
      <c r="M63" s="42">
        <f>VLOOKUP($M$54,'ipc empalme ipim'!$A:$B,2,FALSE)</f>
        <v>179.6388</v>
      </c>
      <c r="N63" s="42">
        <f>VLOOKUP($N$54,'ipc empalme ipim'!$A:$B,2,FALSE)</f>
        <v>184.2552</v>
      </c>
    </row>
    <row r="64" spans="1:14" x14ac:dyDescent="0.2">
      <c r="A64" s="3" t="s">
        <v>8</v>
      </c>
      <c r="B64" s="42">
        <f>VLOOKUP($B$54,'ipc empalme ipim'!$A:$B,2,FALSE)</f>
        <v>124.79559999999999</v>
      </c>
      <c r="C64" s="42">
        <f>VLOOKUP($C$54,'ipc empalme ipim'!$A:$B,2,FALSE)</f>
        <v>126.98869999999999</v>
      </c>
      <c r="D64" s="42">
        <f>VLOOKUP($D$54,'ipc empalme ipim'!$A:$B,2,FALSE)</f>
        <v>130.06059999999999</v>
      </c>
      <c r="E64" s="42">
        <f>VLOOKUP($E$54,'ipc empalme ipim'!$A:$B,2,FALSE)</f>
        <v>133.1054</v>
      </c>
      <c r="F64" s="42">
        <f>VLOOKUP($F$54,'ipc empalme ipim'!$A:$B,2,FALSE)</f>
        <v>136.75120000000001</v>
      </c>
      <c r="G64" s="42">
        <f>VLOOKUP($G$54,'ipc empalme ipim'!$A:$B,2,FALSE)</f>
        <v>139.58930000000001</v>
      </c>
      <c r="H64" s="42">
        <f>VLOOKUP($H$54,'ipc empalme ipim'!$A:$B,2,FALSE)</f>
        <v>144.80529999999999</v>
      </c>
      <c r="I64" s="42">
        <f>VLOOKUP($I$54,'ipc empalme ipim'!$A:$B,2,FALSE)</f>
        <v>149.29660000000001</v>
      </c>
      <c r="J64" s="42">
        <f>VLOOKUP($J$54,'ipc empalme ipim'!$A:$B,2,FALSE)</f>
        <v>155.10339999999999</v>
      </c>
      <c r="K64" s="42">
        <f>VLOOKUP($K$54,'ipc empalme ipim'!$A:$B,2,FALSE)</f>
        <v>165.23830000000001</v>
      </c>
      <c r="L64" s="42">
        <f>VLOOKUP($L$54,'ipc empalme ipim'!$A:$B,2,FALSE)</f>
        <v>174.1473</v>
      </c>
      <c r="M64" s="42">
        <f>VLOOKUP($M$54,'ipc empalme ipim'!$A:$B,2,FALSE)</f>
        <v>179.6388</v>
      </c>
      <c r="N64" s="42">
        <f>VLOOKUP($N$54,'ipc empalme ipim'!$A:$B,2,FALSE)</f>
        <v>184.2552</v>
      </c>
    </row>
    <row r="65" spans="1:14" x14ac:dyDescent="0.2">
      <c r="A65" s="54" t="s">
        <v>67</v>
      </c>
      <c r="B65" s="42">
        <f>VLOOKUP($B$54,'ipc empalme ipim'!$A:$B,2,FALSE)</f>
        <v>124.79559999999999</v>
      </c>
      <c r="C65" s="42">
        <f>VLOOKUP($C$54,'ipc empalme ipim'!$A:$B,2,FALSE)</f>
        <v>126.98869999999999</v>
      </c>
      <c r="D65" s="42">
        <f>VLOOKUP($D$54,'ipc empalme ipim'!$A:$B,2,FALSE)</f>
        <v>130.06059999999999</v>
      </c>
      <c r="E65" s="42">
        <f>VLOOKUP($E$54,'ipc empalme ipim'!$A:$B,2,FALSE)</f>
        <v>133.1054</v>
      </c>
      <c r="F65" s="42">
        <f>VLOOKUP($F$54,'ipc empalme ipim'!$A:$B,2,FALSE)</f>
        <v>136.75120000000001</v>
      </c>
      <c r="G65" s="42">
        <f>VLOOKUP($G$54,'ipc empalme ipim'!$A:$B,2,FALSE)</f>
        <v>139.58930000000001</v>
      </c>
      <c r="H65" s="42">
        <f>VLOOKUP($H$54,'ipc empalme ipim'!$A:$B,2,FALSE)</f>
        <v>144.80529999999999</v>
      </c>
      <c r="I65" s="42">
        <f>VLOOKUP($I$54,'ipc empalme ipim'!$A:$B,2,FALSE)</f>
        <v>149.29660000000001</v>
      </c>
      <c r="J65" s="42">
        <f>VLOOKUP($J$54,'ipc empalme ipim'!$A:$B,2,FALSE)</f>
        <v>155.10339999999999</v>
      </c>
      <c r="K65" s="42">
        <f>VLOOKUP($K$54,'ipc empalme ipim'!$A:$B,2,FALSE)</f>
        <v>165.23830000000001</v>
      </c>
      <c r="L65" s="42">
        <f>VLOOKUP($L$54,'ipc empalme ipim'!$A:$B,2,FALSE)</f>
        <v>174.1473</v>
      </c>
      <c r="M65" s="42">
        <f>VLOOKUP($M$54,'ipc empalme ipim'!$A:$B,2,FALSE)</f>
        <v>179.6388</v>
      </c>
      <c r="N65" s="42">
        <f>VLOOKUP($N$54,'ipc empalme ipim'!$A:$B,2,FALSE)</f>
        <v>184.2552</v>
      </c>
    </row>
    <row r="66" spans="1:14" x14ac:dyDescent="0.2">
      <c r="A66" s="3" t="s">
        <v>9</v>
      </c>
      <c r="B66" s="42">
        <f>VLOOKUP($B$54,'ipc empalme ipim'!$A:$B,2,FALSE)</f>
        <v>124.79559999999999</v>
      </c>
      <c r="C66" s="42">
        <f>VLOOKUP($C$54,'ipc empalme ipim'!$A:$B,2,FALSE)</f>
        <v>126.98869999999999</v>
      </c>
      <c r="D66" s="42">
        <f>VLOOKUP($D$54,'ipc empalme ipim'!$A:$B,2,FALSE)</f>
        <v>130.06059999999999</v>
      </c>
      <c r="E66" s="42">
        <f>VLOOKUP($E$54,'ipc empalme ipim'!$A:$B,2,FALSE)</f>
        <v>133.1054</v>
      </c>
      <c r="F66" s="42">
        <f>VLOOKUP($F$54,'ipc empalme ipim'!$A:$B,2,FALSE)</f>
        <v>136.75120000000001</v>
      </c>
      <c r="G66" s="42">
        <f>VLOOKUP($G$54,'ipc empalme ipim'!$A:$B,2,FALSE)</f>
        <v>139.58930000000001</v>
      </c>
      <c r="H66" s="42">
        <f>VLOOKUP($H$54,'ipc empalme ipim'!$A:$B,2,FALSE)</f>
        <v>144.80529999999999</v>
      </c>
      <c r="I66" s="42">
        <f>VLOOKUP($I$54,'ipc empalme ipim'!$A:$B,2,FALSE)</f>
        <v>149.29660000000001</v>
      </c>
      <c r="J66" s="42">
        <f>VLOOKUP($J$54,'ipc empalme ipim'!$A:$B,2,FALSE)</f>
        <v>155.10339999999999</v>
      </c>
      <c r="K66" s="42">
        <f>VLOOKUP($K$54,'ipc empalme ipim'!$A:$B,2,FALSE)</f>
        <v>165.23830000000001</v>
      </c>
      <c r="L66" s="42">
        <f>VLOOKUP($L$54,'ipc empalme ipim'!$A:$B,2,FALSE)</f>
        <v>174.1473</v>
      </c>
      <c r="M66" s="42">
        <f>VLOOKUP($M$54,'ipc empalme ipim'!$A:$B,2,FALSE)</f>
        <v>179.6388</v>
      </c>
      <c r="N66" s="42">
        <f>VLOOKUP($N$54,'ipc empalme ipim'!$A:$B,2,FALSE)</f>
        <v>184.2552</v>
      </c>
    </row>
    <row r="67" spans="1:14" x14ac:dyDescent="0.2">
      <c r="A67" s="3" t="s">
        <v>39</v>
      </c>
      <c r="B67" s="42">
        <f>VLOOKUP($B$54,'ipc empalme ipim'!$A:$B,2,FALSE)</f>
        <v>124.79559999999999</v>
      </c>
      <c r="C67" s="42">
        <f>VLOOKUP($C$54,'ipc empalme ipim'!$A:$B,2,FALSE)</f>
        <v>126.98869999999999</v>
      </c>
      <c r="D67" s="42">
        <f>VLOOKUP($D$54,'ipc empalme ipim'!$A:$B,2,FALSE)</f>
        <v>130.06059999999999</v>
      </c>
      <c r="E67" s="42">
        <f>VLOOKUP($E$54,'ipc empalme ipim'!$A:$B,2,FALSE)</f>
        <v>133.1054</v>
      </c>
      <c r="F67" s="42">
        <f>VLOOKUP($F$54,'ipc empalme ipim'!$A:$B,2,FALSE)</f>
        <v>136.75120000000001</v>
      </c>
      <c r="G67" s="42">
        <f>VLOOKUP($G$54,'ipc empalme ipim'!$A:$B,2,FALSE)</f>
        <v>139.58930000000001</v>
      </c>
      <c r="H67" s="42">
        <f>VLOOKUP($H$54,'ipc empalme ipim'!$A:$B,2,FALSE)</f>
        <v>144.80529999999999</v>
      </c>
      <c r="I67" s="42">
        <f>VLOOKUP($I$54,'ipc empalme ipim'!$A:$B,2,FALSE)</f>
        <v>149.29660000000001</v>
      </c>
      <c r="J67" s="42">
        <f>VLOOKUP($J$54,'ipc empalme ipim'!$A:$B,2,FALSE)</f>
        <v>155.10339999999999</v>
      </c>
      <c r="K67" s="42">
        <f>VLOOKUP($K$54,'ipc empalme ipim'!$A:$B,2,FALSE)</f>
        <v>165.23830000000001</v>
      </c>
      <c r="L67" s="42">
        <f>VLOOKUP($L$54,'ipc empalme ipim'!$A:$B,2,FALSE)</f>
        <v>174.1473</v>
      </c>
      <c r="M67" s="42">
        <f>VLOOKUP($M$54,'ipc empalme ipim'!$A:$B,2,FALSE)</f>
        <v>179.6388</v>
      </c>
      <c r="N67" s="42">
        <f>VLOOKUP($N$54,'ipc empalme ipim'!$A:$B,2,FALSE)</f>
        <v>184.2552</v>
      </c>
    </row>
    <row r="68" spans="1:14" x14ac:dyDescent="0.2">
      <c r="A68" s="3" t="s">
        <v>10</v>
      </c>
      <c r="B68" s="42">
        <f>VLOOKUP($B$54,'ipc empalme ipim'!$A:$B,2,FALSE)</f>
        <v>124.79559999999999</v>
      </c>
      <c r="C68" s="42">
        <f>VLOOKUP($C$54,'ipc empalme ipim'!$A:$B,2,FALSE)</f>
        <v>126.98869999999999</v>
      </c>
      <c r="D68" s="42">
        <f>VLOOKUP($D$54,'ipc empalme ipim'!$A:$B,2,FALSE)</f>
        <v>130.06059999999999</v>
      </c>
      <c r="E68" s="42">
        <f>VLOOKUP($E$54,'ipc empalme ipim'!$A:$B,2,FALSE)</f>
        <v>133.1054</v>
      </c>
      <c r="F68" s="42">
        <f>VLOOKUP($F$54,'ipc empalme ipim'!$A:$B,2,FALSE)</f>
        <v>136.75120000000001</v>
      </c>
      <c r="G68" s="42">
        <f>VLOOKUP($G$54,'ipc empalme ipim'!$A:$B,2,FALSE)</f>
        <v>139.58930000000001</v>
      </c>
      <c r="H68" s="42">
        <f>VLOOKUP($H$54,'ipc empalme ipim'!$A:$B,2,FALSE)</f>
        <v>144.80529999999999</v>
      </c>
      <c r="I68" s="42">
        <f>VLOOKUP($I$54,'ipc empalme ipim'!$A:$B,2,FALSE)</f>
        <v>149.29660000000001</v>
      </c>
      <c r="J68" s="42">
        <f>VLOOKUP($J$54,'ipc empalme ipim'!$A:$B,2,FALSE)</f>
        <v>155.10339999999999</v>
      </c>
      <c r="K68" s="42">
        <f>VLOOKUP($K$54,'ipc empalme ipim'!$A:$B,2,FALSE)</f>
        <v>165.23830000000001</v>
      </c>
      <c r="L68" s="42">
        <f>VLOOKUP($L$54,'ipc empalme ipim'!$A:$B,2,FALSE)</f>
        <v>174.1473</v>
      </c>
      <c r="M68" s="42">
        <f>VLOOKUP($M$54,'ipc empalme ipim'!$A:$B,2,FALSE)</f>
        <v>179.6388</v>
      </c>
      <c r="N68" s="42">
        <f>VLOOKUP($N$54,'ipc empalme ipim'!$A:$B,2,FALSE)</f>
        <v>184.2552</v>
      </c>
    </row>
    <row r="69" spans="1:14" x14ac:dyDescent="0.2">
      <c r="A69" s="3" t="s">
        <v>11</v>
      </c>
      <c r="B69" s="42">
        <f>VLOOKUP($B$54,'ipc empalme ipim'!$A:$B,2,FALSE)</f>
        <v>124.79559999999999</v>
      </c>
      <c r="C69" s="42">
        <f>VLOOKUP($C$54,'ipc empalme ipim'!$A:$B,2,FALSE)</f>
        <v>126.98869999999999</v>
      </c>
      <c r="D69" s="42">
        <f>VLOOKUP($D$54,'ipc empalme ipim'!$A:$B,2,FALSE)</f>
        <v>130.06059999999999</v>
      </c>
      <c r="E69" s="42">
        <f>VLOOKUP($E$54,'ipc empalme ipim'!$A:$B,2,FALSE)</f>
        <v>133.1054</v>
      </c>
      <c r="F69" s="42">
        <f>VLOOKUP($F$54,'ipc empalme ipim'!$A:$B,2,FALSE)</f>
        <v>136.75120000000001</v>
      </c>
      <c r="G69" s="42">
        <f>VLOOKUP($G$54,'ipc empalme ipim'!$A:$B,2,FALSE)</f>
        <v>139.58930000000001</v>
      </c>
      <c r="H69" s="42">
        <f>VLOOKUP($H$54,'ipc empalme ipim'!$A:$B,2,FALSE)</f>
        <v>144.80529999999999</v>
      </c>
      <c r="I69" s="42">
        <f>VLOOKUP($I$54,'ipc empalme ipim'!$A:$B,2,FALSE)</f>
        <v>149.29660000000001</v>
      </c>
      <c r="J69" s="42">
        <f>VLOOKUP($J$54,'ipc empalme ipim'!$A:$B,2,FALSE)</f>
        <v>155.10339999999999</v>
      </c>
      <c r="K69" s="42">
        <f>VLOOKUP($K$54,'ipc empalme ipim'!$A:$B,2,FALSE)</f>
        <v>165.23830000000001</v>
      </c>
      <c r="L69" s="42">
        <f>VLOOKUP($L$54,'ipc empalme ipim'!$A:$B,2,FALSE)</f>
        <v>174.1473</v>
      </c>
      <c r="M69" s="42">
        <f>VLOOKUP($M$54,'ipc empalme ipim'!$A:$B,2,FALSE)</f>
        <v>179.6388</v>
      </c>
      <c r="N69" s="42">
        <f>VLOOKUP($N$54,'ipc empalme ipim'!$A:$B,2,FALSE)</f>
        <v>184.2552</v>
      </c>
    </row>
    <row r="70" spans="1:14" x14ac:dyDescent="0.2">
      <c r="A70" s="3" t="s">
        <v>12</v>
      </c>
      <c r="B70" s="42">
        <f>VLOOKUP($B$54,'ipc empalme ipim'!$A:$B,2,FALSE)</f>
        <v>124.79559999999999</v>
      </c>
      <c r="C70" s="42">
        <f>VLOOKUP($C$54,'ipc empalme ipim'!$A:$B,2,FALSE)</f>
        <v>126.98869999999999</v>
      </c>
      <c r="D70" s="42">
        <f>VLOOKUP($D$54,'ipc empalme ipim'!$A:$B,2,FALSE)</f>
        <v>130.06059999999999</v>
      </c>
      <c r="E70" s="42">
        <f>VLOOKUP($E$54,'ipc empalme ipim'!$A:$B,2,FALSE)</f>
        <v>133.1054</v>
      </c>
      <c r="F70" s="42">
        <f>VLOOKUP($F$54,'ipc empalme ipim'!$A:$B,2,FALSE)</f>
        <v>136.75120000000001</v>
      </c>
      <c r="G70" s="42">
        <f>VLOOKUP($G$54,'ipc empalme ipim'!$A:$B,2,FALSE)</f>
        <v>139.58930000000001</v>
      </c>
      <c r="H70" s="42">
        <f>VLOOKUP($H$54,'ipc empalme ipim'!$A:$B,2,FALSE)</f>
        <v>144.80529999999999</v>
      </c>
      <c r="I70" s="42">
        <f>VLOOKUP($I$54,'ipc empalme ipim'!$A:$B,2,FALSE)</f>
        <v>149.29660000000001</v>
      </c>
      <c r="J70" s="42">
        <f>VLOOKUP($J$54,'ipc empalme ipim'!$A:$B,2,FALSE)</f>
        <v>155.10339999999999</v>
      </c>
      <c r="K70" s="42">
        <f>VLOOKUP($K$54,'ipc empalme ipim'!$A:$B,2,FALSE)</f>
        <v>165.23830000000001</v>
      </c>
      <c r="L70" s="42">
        <f>VLOOKUP($L$54,'ipc empalme ipim'!$A:$B,2,FALSE)</f>
        <v>174.1473</v>
      </c>
      <c r="M70" s="42">
        <f>VLOOKUP($M$54,'ipc empalme ipim'!$A:$B,2,FALSE)</f>
        <v>179.6388</v>
      </c>
      <c r="N70" s="42">
        <f>VLOOKUP($N$54,'ipc empalme ipim'!$A:$B,2,FALSE)</f>
        <v>184.2552</v>
      </c>
    </row>
    <row r="71" spans="1:14" x14ac:dyDescent="0.2">
      <c r="A71" s="3" t="s">
        <v>13</v>
      </c>
      <c r="B71" s="42">
        <f>VLOOKUP($B$54,'ipc empalme ipim'!$A:$B,2,FALSE)</f>
        <v>124.79559999999999</v>
      </c>
      <c r="C71" s="42">
        <f>VLOOKUP($C$54,'ipc empalme ipim'!$A:$B,2,FALSE)</f>
        <v>126.98869999999999</v>
      </c>
      <c r="D71" s="42">
        <f>VLOOKUP($D$54,'ipc empalme ipim'!$A:$B,2,FALSE)</f>
        <v>130.06059999999999</v>
      </c>
      <c r="E71" s="42">
        <f>VLOOKUP($E$54,'ipc empalme ipim'!$A:$B,2,FALSE)</f>
        <v>133.1054</v>
      </c>
      <c r="F71" s="42">
        <f>VLOOKUP($F$54,'ipc empalme ipim'!$A:$B,2,FALSE)</f>
        <v>136.75120000000001</v>
      </c>
      <c r="G71" s="42">
        <f>VLOOKUP($G$54,'ipc empalme ipim'!$A:$B,2,FALSE)</f>
        <v>139.58930000000001</v>
      </c>
      <c r="H71" s="42">
        <f>VLOOKUP($H$54,'ipc empalme ipim'!$A:$B,2,FALSE)</f>
        <v>144.80529999999999</v>
      </c>
      <c r="I71" s="42">
        <f>VLOOKUP($I$54,'ipc empalme ipim'!$A:$B,2,FALSE)</f>
        <v>149.29660000000001</v>
      </c>
      <c r="J71" s="42">
        <f>VLOOKUP($J$54,'ipc empalme ipim'!$A:$B,2,FALSE)</f>
        <v>155.10339999999999</v>
      </c>
      <c r="K71" s="42">
        <f>VLOOKUP($K$54,'ipc empalme ipim'!$A:$B,2,FALSE)</f>
        <v>165.23830000000001</v>
      </c>
      <c r="L71" s="42">
        <f>VLOOKUP($L$54,'ipc empalme ipim'!$A:$B,2,FALSE)</f>
        <v>174.1473</v>
      </c>
      <c r="M71" s="42">
        <f>VLOOKUP($M$54,'ipc empalme ipim'!$A:$B,2,FALSE)</f>
        <v>179.6388</v>
      </c>
      <c r="N71" s="42">
        <f>VLOOKUP($N$54,'ipc empalme ipim'!$A:$B,2,FALSE)</f>
        <v>184.2552</v>
      </c>
    </row>
    <row r="72" spans="1:14" x14ac:dyDescent="0.2">
      <c r="A72" s="3" t="s">
        <v>14</v>
      </c>
      <c r="B72" s="42">
        <f>VLOOKUP($B$54,'ipc empalme ipim'!$A:$B,2,FALSE)</f>
        <v>124.79559999999999</v>
      </c>
      <c r="C72" s="42">
        <f>VLOOKUP($C$54,'ipc empalme ipim'!$A:$B,2,FALSE)</f>
        <v>126.98869999999999</v>
      </c>
      <c r="D72" s="42">
        <f>VLOOKUP($D$54,'ipc empalme ipim'!$A:$B,2,FALSE)</f>
        <v>130.06059999999999</v>
      </c>
      <c r="E72" s="42">
        <f>VLOOKUP($E$54,'ipc empalme ipim'!$A:$B,2,FALSE)</f>
        <v>133.1054</v>
      </c>
      <c r="F72" s="42">
        <f>VLOOKUP($F$54,'ipc empalme ipim'!$A:$B,2,FALSE)</f>
        <v>136.75120000000001</v>
      </c>
      <c r="G72" s="42">
        <f>VLOOKUP($G$54,'ipc empalme ipim'!$A:$B,2,FALSE)</f>
        <v>139.58930000000001</v>
      </c>
      <c r="H72" s="42">
        <f>VLOOKUP($H$54,'ipc empalme ipim'!$A:$B,2,FALSE)</f>
        <v>144.80529999999999</v>
      </c>
      <c r="I72" s="42">
        <f>VLOOKUP($I$54,'ipc empalme ipim'!$A:$B,2,FALSE)</f>
        <v>149.29660000000001</v>
      </c>
      <c r="J72" s="42">
        <f>VLOOKUP($J$54,'ipc empalme ipim'!$A:$B,2,FALSE)</f>
        <v>155.10339999999999</v>
      </c>
      <c r="K72" s="42">
        <f>VLOOKUP($K$54,'ipc empalme ipim'!$A:$B,2,FALSE)</f>
        <v>165.23830000000001</v>
      </c>
      <c r="L72" s="42">
        <f>VLOOKUP($L$54,'ipc empalme ipim'!$A:$B,2,FALSE)</f>
        <v>174.1473</v>
      </c>
      <c r="M72" s="42">
        <f>VLOOKUP($M$54,'ipc empalme ipim'!$A:$B,2,FALSE)</f>
        <v>179.6388</v>
      </c>
      <c r="N72" s="42">
        <f>VLOOKUP($N$54,'ipc empalme ipim'!$A:$B,2,FALSE)</f>
        <v>184.2552</v>
      </c>
    </row>
    <row r="73" spans="1:14" x14ac:dyDescent="0.2">
      <c r="A73" s="3" t="s">
        <v>15</v>
      </c>
      <c r="B73" s="42">
        <f>VLOOKUP($B$54,'ipc empalme ipim'!$A:$B,2,FALSE)</f>
        <v>124.79559999999999</v>
      </c>
      <c r="C73" s="42">
        <f>VLOOKUP($C$54,'ipc empalme ipim'!$A:$B,2,FALSE)</f>
        <v>126.98869999999999</v>
      </c>
      <c r="D73" s="42">
        <f>VLOOKUP($D$54,'ipc empalme ipim'!$A:$B,2,FALSE)</f>
        <v>130.06059999999999</v>
      </c>
      <c r="E73" s="42">
        <f>VLOOKUP($E$54,'ipc empalme ipim'!$A:$B,2,FALSE)</f>
        <v>133.1054</v>
      </c>
      <c r="F73" s="42">
        <f>VLOOKUP($F$54,'ipc empalme ipim'!$A:$B,2,FALSE)</f>
        <v>136.75120000000001</v>
      </c>
      <c r="G73" s="42">
        <f>VLOOKUP($G$54,'ipc empalme ipim'!$A:$B,2,FALSE)</f>
        <v>139.58930000000001</v>
      </c>
      <c r="H73" s="42">
        <f>VLOOKUP($H$54,'ipc empalme ipim'!$A:$B,2,FALSE)</f>
        <v>144.80529999999999</v>
      </c>
      <c r="I73" s="42">
        <f>VLOOKUP($I$54,'ipc empalme ipim'!$A:$B,2,FALSE)</f>
        <v>149.29660000000001</v>
      </c>
      <c r="J73" s="42">
        <f>VLOOKUP($J$54,'ipc empalme ipim'!$A:$B,2,FALSE)</f>
        <v>155.10339999999999</v>
      </c>
      <c r="K73" s="42">
        <f>VLOOKUP($K$54,'ipc empalme ipim'!$A:$B,2,FALSE)</f>
        <v>165.23830000000001</v>
      </c>
      <c r="L73" s="42">
        <f>VLOOKUP($L$54,'ipc empalme ipim'!$A:$B,2,FALSE)</f>
        <v>174.1473</v>
      </c>
      <c r="M73" s="42">
        <f>VLOOKUP($M$54,'ipc empalme ipim'!$A:$B,2,FALSE)</f>
        <v>179.6388</v>
      </c>
      <c r="N73" s="42">
        <f>VLOOKUP($N$54,'ipc empalme ipim'!$A:$B,2,FALSE)</f>
        <v>184.2552</v>
      </c>
    </row>
    <row r="74" spans="1:14" x14ac:dyDescent="0.2">
      <c r="A74" s="3" t="s">
        <v>16</v>
      </c>
      <c r="B74" s="42">
        <f>VLOOKUP($B$54,'ipc empalme ipim'!$A:$B,2,FALSE)</f>
        <v>124.79559999999999</v>
      </c>
      <c r="C74" s="42">
        <f>VLOOKUP($C$54,'ipc empalme ipim'!$A:$B,2,FALSE)</f>
        <v>126.98869999999999</v>
      </c>
      <c r="D74" s="42">
        <f>VLOOKUP($D$54,'ipc empalme ipim'!$A:$B,2,FALSE)</f>
        <v>130.06059999999999</v>
      </c>
      <c r="E74" s="42">
        <f>VLOOKUP($E$54,'ipc empalme ipim'!$A:$B,2,FALSE)</f>
        <v>133.1054</v>
      </c>
      <c r="F74" s="42">
        <f>VLOOKUP($F$54,'ipc empalme ipim'!$A:$B,2,FALSE)</f>
        <v>136.75120000000001</v>
      </c>
      <c r="G74" s="42">
        <f>VLOOKUP($G$54,'ipc empalme ipim'!$A:$B,2,FALSE)</f>
        <v>139.58930000000001</v>
      </c>
      <c r="H74" s="42">
        <f>VLOOKUP($H$54,'ipc empalme ipim'!$A:$B,2,FALSE)</f>
        <v>144.80529999999999</v>
      </c>
      <c r="I74" s="42">
        <f>VLOOKUP($I$54,'ipc empalme ipim'!$A:$B,2,FALSE)</f>
        <v>149.29660000000001</v>
      </c>
      <c r="J74" s="42">
        <f>VLOOKUP($J$54,'ipc empalme ipim'!$A:$B,2,FALSE)</f>
        <v>155.10339999999999</v>
      </c>
      <c r="K74" s="42">
        <f>VLOOKUP($K$54,'ipc empalme ipim'!$A:$B,2,FALSE)</f>
        <v>165.23830000000001</v>
      </c>
      <c r="L74" s="42">
        <f>VLOOKUP($L$54,'ipc empalme ipim'!$A:$B,2,FALSE)</f>
        <v>174.1473</v>
      </c>
      <c r="M74" s="42">
        <f>VLOOKUP($M$54,'ipc empalme ipim'!$A:$B,2,FALSE)</f>
        <v>179.6388</v>
      </c>
      <c r="N74" s="42">
        <f>VLOOKUP($N$54,'ipc empalme ipim'!$A:$B,2,FALSE)</f>
        <v>184.2552</v>
      </c>
    </row>
    <row r="75" spans="1:14" x14ac:dyDescent="0.2">
      <c r="A75" s="3" t="s">
        <v>87</v>
      </c>
      <c r="B75" s="42">
        <f>VLOOKUP($B$54,'ipc empalme ipim'!$A:$B,2,FALSE)</f>
        <v>124.79559999999999</v>
      </c>
      <c r="C75" s="42">
        <f>VLOOKUP($C$54,'ipc empalme ipim'!$A:$B,2,FALSE)</f>
        <v>126.98869999999999</v>
      </c>
      <c r="D75" s="42">
        <f>VLOOKUP($D$54,'ipc empalme ipim'!$A:$B,2,FALSE)</f>
        <v>130.06059999999999</v>
      </c>
      <c r="E75" s="42">
        <f>VLOOKUP($E$54,'ipc empalme ipim'!$A:$B,2,FALSE)</f>
        <v>133.1054</v>
      </c>
      <c r="F75" s="42">
        <f>VLOOKUP($F$54,'ipc empalme ipim'!$A:$B,2,FALSE)</f>
        <v>136.75120000000001</v>
      </c>
      <c r="G75" s="42">
        <f>VLOOKUP($G$54,'ipc empalme ipim'!$A:$B,2,FALSE)</f>
        <v>139.58930000000001</v>
      </c>
      <c r="H75" s="42">
        <f>VLOOKUP($H$54,'ipc empalme ipim'!$A:$B,2,FALSE)</f>
        <v>144.80529999999999</v>
      </c>
      <c r="I75" s="42">
        <f>VLOOKUP($I$54,'ipc empalme ipim'!$A:$B,2,FALSE)</f>
        <v>149.29660000000001</v>
      </c>
      <c r="J75" s="42">
        <f>VLOOKUP($J$54,'ipc empalme ipim'!$A:$B,2,FALSE)</f>
        <v>155.10339999999999</v>
      </c>
      <c r="K75" s="42">
        <f>VLOOKUP($K$54,'ipc empalme ipim'!$A:$B,2,FALSE)</f>
        <v>165.23830000000001</v>
      </c>
      <c r="L75" s="42">
        <f>VLOOKUP($L$54,'ipc empalme ipim'!$A:$B,2,FALSE)</f>
        <v>174.1473</v>
      </c>
      <c r="M75" s="42">
        <f>VLOOKUP($M$54,'ipc empalme ipim'!$A:$B,2,FALSE)</f>
        <v>179.6388</v>
      </c>
      <c r="N75" s="42">
        <f>VLOOKUP($N$54,'ipc empalme ipim'!$A:$B,2,FALSE)</f>
        <v>184.2552</v>
      </c>
    </row>
    <row r="76" spans="1:14" x14ac:dyDescent="0.2">
      <c r="A76" s="3" t="s">
        <v>17</v>
      </c>
      <c r="B76" s="42">
        <f>VLOOKUP($B$54,'ipc empalme ipim'!$A:$B,2,FALSE)</f>
        <v>124.79559999999999</v>
      </c>
      <c r="C76" s="42">
        <f>VLOOKUP($C$54,'ipc empalme ipim'!$A:$B,2,FALSE)</f>
        <v>126.98869999999999</v>
      </c>
      <c r="D76" s="42">
        <f>VLOOKUP($D$54,'ipc empalme ipim'!$A:$B,2,FALSE)</f>
        <v>130.06059999999999</v>
      </c>
      <c r="E76" s="42">
        <f>VLOOKUP($E$54,'ipc empalme ipim'!$A:$B,2,FALSE)</f>
        <v>133.1054</v>
      </c>
      <c r="F76" s="42">
        <f>VLOOKUP($F$54,'ipc empalme ipim'!$A:$B,2,FALSE)</f>
        <v>136.75120000000001</v>
      </c>
      <c r="G76" s="42">
        <f>VLOOKUP($G$54,'ipc empalme ipim'!$A:$B,2,FALSE)</f>
        <v>139.58930000000001</v>
      </c>
      <c r="H76" s="42">
        <f>VLOOKUP($H$54,'ipc empalme ipim'!$A:$B,2,FALSE)</f>
        <v>144.80529999999999</v>
      </c>
      <c r="I76" s="42">
        <f>VLOOKUP($I$54,'ipc empalme ipim'!$A:$B,2,FALSE)</f>
        <v>149.29660000000001</v>
      </c>
      <c r="J76" s="42">
        <f>VLOOKUP($J$54,'ipc empalme ipim'!$A:$B,2,FALSE)</f>
        <v>155.10339999999999</v>
      </c>
      <c r="K76" s="42">
        <f>VLOOKUP($K$54,'ipc empalme ipim'!$A:$B,2,FALSE)</f>
        <v>165.23830000000001</v>
      </c>
      <c r="L76" s="42">
        <f>VLOOKUP($L$54,'ipc empalme ipim'!$A:$B,2,FALSE)</f>
        <v>174.1473</v>
      </c>
      <c r="M76" s="42">
        <f>VLOOKUP($M$54,'ipc empalme ipim'!$A:$B,2,FALSE)</f>
        <v>179.6388</v>
      </c>
      <c r="N76" s="42">
        <f>VLOOKUP($N$54,'ipc empalme ipim'!$A:$B,2,FALSE)</f>
        <v>184.2552</v>
      </c>
    </row>
    <row r="77" spans="1:14" x14ac:dyDescent="0.2">
      <c r="A77" s="3" t="s">
        <v>18</v>
      </c>
      <c r="B77" s="42">
        <f>VLOOKUP($B$54,'ipc empalme ipim'!$A:$B,2,FALSE)</f>
        <v>124.79559999999999</v>
      </c>
      <c r="C77" s="42">
        <f>VLOOKUP($C$54,'ipc empalme ipim'!$A:$B,2,FALSE)</f>
        <v>126.98869999999999</v>
      </c>
      <c r="D77" s="42">
        <f>VLOOKUP($D$54,'ipc empalme ipim'!$A:$B,2,FALSE)</f>
        <v>130.06059999999999</v>
      </c>
      <c r="E77" s="42">
        <f>VLOOKUP($E$54,'ipc empalme ipim'!$A:$B,2,FALSE)</f>
        <v>133.1054</v>
      </c>
      <c r="F77" s="42">
        <f>VLOOKUP($F$54,'ipc empalme ipim'!$A:$B,2,FALSE)</f>
        <v>136.75120000000001</v>
      </c>
      <c r="G77" s="42">
        <f>VLOOKUP($G$54,'ipc empalme ipim'!$A:$B,2,FALSE)</f>
        <v>139.58930000000001</v>
      </c>
      <c r="H77" s="42">
        <f>VLOOKUP($H$54,'ipc empalme ipim'!$A:$B,2,FALSE)</f>
        <v>144.80529999999999</v>
      </c>
      <c r="I77" s="42">
        <f>VLOOKUP($I$54,'ipc empalme ipim'!$A:$B,2,FALSE)</f>
        <v>149.29660000000001</v>
      </c>
      <c r="J77" s="42">
        <f>VLOOKUP($J$54,'ipc empalme ipim'!$A:$B,2,FALSE)</f>
        <v>155.10339999999999</v>
      </c>
      <c r="K77" s="42">
        <f>VLOOKUP($K$54,'ipc empalme ipim'!$A:$B,2,FALSE)</f>
        <v>165.23830000000001</v>
      </c>
      <c r="L77" s="42">
        <f>VLOOKUP($L$54,'ipc empalme ipim'!$A:$B,2,FALSE)</f>
        <v>174.1473</v>
      </c>
      <c r="M77" s="42">
        <f>VLOOKUP($M$54,'ipc empalme ipim'!$A:$B,2,FALSE)</f>
        <v>179.6388</v>
      </c>
      <c r="N77" s="42">
        <f>VLOOKUP($N$54,'ipc empalme ipim'!$A:$B,2,FALSE)</f>
        <v>184.2552</v>
      </c>
    </row>
    <row r="78" spans="1:14" x14ac:dyDescent="0.2">
      <c r="A78" s="3" t="s">
        <v>81</v>
      </c>
      <c r="B78" s="42">
        <f>VLOOKUP($B$54,'ipc empalme ipim'!$A:$B,2,FALSE)</f>
        <v>124.79559999999999</v>
      </c>
      <c r="C78" s="42">
        <f>VLOOKUP($C$54,'ipc empalme ipim'!$A:$B,2,FALSE)</f>
        <v>126.98869999999999</v>
      </c>
      <c r="D78" s="42">
        <f>VLOOKUP($D$54,'ipc empalme ipim'!$A:$B,2,FALSE)</f>
        <v>130.06059999999999</v>
      </c>
      <c r="E78" s="42">
        <f>VLOOKUP($E$54,'ipc empalme ipim'!$A:$B,2,FALSE)</f>
        <v>133.1054</v>
      </c>
      <c r="F78" s="42">
        <f>VLOOKUP($F$54,'ipc empalme ipim'!$A:$B,2,FALSE)</f>
        <v>136.75120000000001</v>
      </c>
      <c r="G78" s="42">
        <f>VLOOKUP($G$54,'ipc empalme ipim'!$A:$B,2,FALSE)</f>
        <v>139.58930000000001</v>
      </c>
      <c r="H78" s="42">
        <f>VLOOKUP($H$54,'ipc empalme ipim'!$A:$B,2,FALSE)</f>
        <v>144.80529999999999</v>
      </c>
      <c r="I78" s="42">
        <f>VLOOKUP($I$54,'ipc empalme ipim'!$A:$B,2,FALSE)</f>
        <v>149.29660000000001</v>
      </c>
      <c r="J78" s="42">
        <f>VLOOKUP($J$54,'ipc empalme ipim'!$A:$B,2,FALSE)</f>
        <v>155.10339999999999</v>
      </c>
      <c r="K78" s="42">
        <f>VLOOKUP($K$54,'ipc empalme ipim'!$A:$B,2,FALSE)</f>
        <v>165.23830000000001</v>
      </c>
      <c r="L78" s="42">
        <f>VLOOKUP($L$54,'ipc empalme ipim'!$A:$B,2,FALSE)</f>
        <v>174.1473</v>
      </c>
      <c r="M78" s="42">
        <f>VLOOKUP($M$54,'ipc empalme ipim'!$A:$B,2,FALSE)</f>
        <v>179.6388</v>
      </c>
      <c r="N78" s="42">
        <f>VLOOKUP($N$54,'ipc empalme ipim'!$A:$B,2,FALSE)</f>
        <v>184.2552</v>
      </c>
    </row>
    <row r="80" spans="1:14" x14ac:dyDescent="0.2">
      <c r="A80" s="52" t="s">
        <v>57</v>
      </c>
      <c r="B80" s="53">
        <v>43070</v>
      </c>
      <c r="C80" s="53">
        <v>43101</v>
      </c>
      <c r="D80" s="53">
        <v>43132</v>
      </c>
      <c r="E80" s="53">
        <v>43160</v>
      </c>
      <c r="F80" s="53">
        <v>43191</v>
      </c>
      <c r="G80" s="53">
        <v>43221</v>
      </c>
      <c r="H80" s="53">
        <v>43252</v>
      </c>
      <c r="I80" s="53">
        <v>43282</v>
      </c>
      <c r="J80" s="53">
        <v>43313</v>
      </c>
      <c r="K80" s="53">
        <v>43344</v>
      </c>
      <c r="L80" s="53">
        <v>43374</v>
      </c>
      <c r="M80" s="53">
        <v>43405</v>
      </c>
      <c r="N80" s="53">
        <v>43435</v>
      </c>
    </row>
    <row r="81" spans="1:14" x14ac:dyDescent="0.2">
      <c r="A81" s="3" t="s">
        <v>0</v>
      </c>
      <c r="B81" s="14">
        <f>$N$55/B55</f>
        <v>1.4764559006888065</v>
      </c>
      <c r="C81" s="14">
        <f t="shared" ref="C81:N81" si="27">$N$55/C55</f>
        <v>1.4509574473949258</v>
      </c>
      <c r="D81" s="14">
        <f t="shared" si="27"/>
        <v>1.4166872980748975</v>
      </c>
      <c r="E81" s="14">
        <f t="shared" si="27"/>
        <v>1.3842804273906242</v>
      </c>
      <c r="F81" s="14">
        <f t="shared" si="27"/>
        <v>1.3473753795213497</v>
      </c>
      <c r="G81" s="14">
        <f t="shared" si="27"/>
        <v>1.3199808294761848</v>
      </c>
      <c r="H81" s="14">
        <f t="shared" si="27"/>
        <v>1.272434089083756</v>
      </c>
      <c r="I81" s="14">
        <f t="shared" si="27"/>
        <v>1.2341553658958073</v>
      </c>
      <c r="J81" s="14">
        <f t="shared" si="27"/>
        <v>1.1879507476947637</v>
      </c>
      <c r="K81" s="14">
        <f t="shared" si="27"/>
        <v>1.1150877248192459</v>
      </c>
      <c r="L81" s="14">
        <f t="shared" si="27"/>
        <v>1.0580422435489956</v>
      </c>
      <c r="M81" s="14">
        <f t="shared" si="27"/>
        <v>1.0256982344571439</v>
      </c>
      <c r="N81" s="14">
        <f t="shared" si="27"/>
        <v>1</v>
      </c>
    </row>
    <row r="82" spans="1:14" x14ac:dyDescent="0.2">
      <c r="A82" s="3" t="s">
        <v>1</v>
      </c>
      <c r="B82" s="14">
        <f t="shared" ref="B82:N82" si="28">$N$55/B56</f>
        <v>1.4764559006888065</v>
      </c>
      <c r="C82" s="14">
        <f t="shared" si="28"/>
        <v>1.4509574473949258</v>
      </c>
      <c r="D82" s="14">
        <f t="shared" si="28"/>
        <v>1.4166872980748975</v>
      </c>
      <c r="E82" s="14">
        <f t="shared" si="28"/>
        <v>1.3842804273906242</v>
      </c>
      <c r="F82" s="14">
        <f t="shared" si="28"/>
        <v>1.3473753795213497</v>
      </c>
      <c r="G82" s="14">
        <f t="shared" si="28"/>
        <v>1.3199808294761848</v>
      </c>
      <c r="H82" s="14">
        <f t="shared" si="28"/>
        <v>1.272434089083756</v>
      </c>
      <c r="I82" s="14">
        <f t="shared" si="28"/>
        <v>1.2341553658958073</v>
      </c>
      <c r="J82" s="14">
        <f t="shared" si="28"/>
        <v>1.1879507476947637</v>
      </c>
      <c r="K82" s="14">
        <f t="shared" si="28"/>
        <v>1.1150877248192459</v>
      </c>
      <c r="L82" s="14">
        <f t="shared" si="28"/>
        <v>1.0580422435489956</v>
      </c>
      <c r="M82" s="14">
        <f t="shared" si="28"/>
        <v>1.0256982344571439</v>
      </c>
      <c r="N82" s="14">
        <f t="shared" si="28"/>
        <v>1</v>
      </c>
    </row>
    <row r="83" spans="1:14" x14ac:dyDescent="0.2">
      <c r="A83" s="3" t="s">
        <v>2</v>
      </c>
      <c r="B83" s="14">
        <f t="shared" ref="B83:N83" si="29">$N$55/B57</f>
        <v>1.4764559006888065</v>
      </c>
      <c r="C83" s="14">
        <f t="shared" si="29"/>
        <v>1.4509574473949258</v>
      </c>
      <c r="D83" s="14">
        <f t="shared" si="29"/>
        <v>1.4166872980748975</v>
      </c>
      <c r="E83" s="14">
        <f t="shared" si="29"/>
        <v>1.3842804273906242</v>
      </c>
      <c r="F83" s="14">
        <f t="shared" si="29"/>
        <v>1.3473753795213497</v>
      </c>
      <c r="G83" s="14">
        <f t="shared" si="29"/>
        <v>1.3199808294761848</v>
      </c>
      <c r="H83" s="14">
        <f t="shared" si="29"/>
        <v>1.272434089083756</v>
      </c>
      <c r="I83" s="14">
        <f t="shared" si="29"/>
        <v>1.2341553658958073</v>
      </c>
      <c r="J83" s="14">
        <f t="shared" si="29"/>
        <v>1.1879507476947637</v>
      </c>
      <c r="K83" s="14">
        <f t="shared" si="29"/>
        <v>1.1150877248192459</v>
      </c>
      <c r="L83" s="14">
        <f t="shared" si="29"/>
        <v>1.0580422435489956</v>
      </c>
      <c r="M83" s="14">
        <f t="shared" si="29"/>
        <v>1.0256982344571439</v>
      </c>
      <c r="N83" s="14">
        <f t="shared" si="29"/>
        <v>1</v>
      </c>
    </row>
    <row r="84" spans="1:14" x14ac:dyDescent="0.2">
      <c r="A84" s="3" t="s">
        <v>3</v>
      </c>
      <c r="B84" s="14">
        <f t="shared" ref="B84:N84" si="30">$N$55/B58</f>
        <v>1.4764559006888065</v>
      </c>
      <c r="C84" s="14">
        <f t="shared" si="30"/>
        <v>1.4509574473949258</v>
      </c>
      <c r="D84" s="14">
        <f t="shared" si="30"/>
        <v>1.4166872980748975</v>
      </c>
      <c r="E84" s="14">
        <f t="shared" si="30"/>
        <v>1.3842804273906242</v>
      </c>
      <c r="F84" s="14">
        <f t="shared" si="30"/>
        <v>1.3473753795213497</v>
      </c>
      <c r="G84" s="14">
        <f t="shared" si="30"/>
        <v>1.3199808294761848</v>
      </c>
      <c r="H84" s="14">
        <f t="shared" si="30"/>
        <v>1.272434089083756</v>
      </c>
      <c r="I84" s="14">
        <f t="shared" si="30"/>
        <v>1.2341553658958073</v>
      </c>
      <c r="J84" s="14">
        <f t="shared" si="30"/>
        <v>1.1879507476947637</v>
      </c>
      <c r="K84" s="14">
        <f t="shared" si="30"/>
        <v>1.1150877248192459</v>
      </c>
      <c r="L84" s="14">
        <f t="shared" si="30"/>
        <v>1.0580422435489956</v>
      </c>
      <c r="M84" s="14">
        <f t="shared" si="30"/>
        <v>1.0256982344571439</v>
      </c>
      <c r="N84" s="14">
        <f t="shared" si="30"/>
        <v>1</v>
      </c>
    </row>
    <row r="85" spans="1:14" x14ac:dyDescent="0.2">
      <c r="A85" s="3" t="s">
        <v>19</v>
      </c>
      <c r="B85" s="14">
        <f t="shared" ref="B85:N85" si="31">$N$55/B59</f>
        <v>1.4764559006888065</v>
      </c>
      <c r="C85" s="14">
        <f t="shared" si="31"/>
        <v>1.4509574473949258</v>
      </c>
      <c r="D85" s="14">
        <f t="shared" si="31"/>
        <v>1.4166872980748975</v>
      </c>
      <c r="E85" s="14">
        <f t="shared" si="31"/>
        <v>1.3842804273906242</v>
      </c>
      <c r="F85" s="14">
        <f t="shared" si="31"/>
        <v>1.3473753795213497</v>
      </c>
      <c r="G85" s="14">
        <f t="shared" si="31"/>
        <v>1.3199808294761848</v>
      </c>
      <c r="H85" s="14">
        <f t="shared" si="31"/>
        <v>1.272434089083756</v>
      </c>
      <c r="I85" s="14">
        <f t="shared" si="31"/>
        <v>1.2341553658958073</v>
      </c>
      <c r="J85" s="14">
        <f t="shared" si="31"/>
        <v>1.1879507476947637</v>
      </c>
      <c r="K85" s="14">
        <f t="shared" si="31"/>
        <v>1.1150877248192459</v>
      </c>
      <c r="L85" s="14">
        <f t="shared" si="31"/>
        <v>1.0580422435489956</v>
      </c>
      <c r="M85" s="14">
        <f t="shared" si="31"/>
        <v>1.0256982344571439</v>
      </c>
      <c r="N85" s="14">
        <f t="shared" si="31"/>
        <v>1</v>
      </c>
    </row>
    <row r="86" spans="1:14" x14ac:dyDescent="0.2">
      <c r="A86" s="3" t="s">
        <v>4</v>
      </c>
      <c r="B86" s="14">
        <f t="shared" ref="B86:N86" si="32">$N$55/B60</f>
        <v>1.4764559006888065</v>
      </c>
      <c r="C86" s="14">
        <f t="shared" si="32"/>
        <v>1.4509574473949258</v>
      </c>
      <c r="D86" s="14">
        <f t="shared" si="32"/>
        <v>1.4166872980748975</v>
      </c>
      <c r="E86" s="14">
        <f t="shared" si="32"/>
        <v>1.3842804273906242</v>
      </c>
      <c r="F86" s="14">
        <f t="shared" si="32"/>
        <v>1.3473753795213497</v>
      </c>
      <c r="G86" s="14">
        <f t="shared" si="32"/>
        <v>1.3199808294761848</v>
      </c>
      <c r="H86" s="14">
        <f t="shared" si="32"/>
        <v>1.272434089083756</v>
      </c>
      <c r="I86" s="14">
        <f t="shared" si="32"/>
        <v>1.2341553658958073</v>
      </c>
      <c r="J86" s="14">
        <f t="shared" si="32"/>
        <v>1.1879507476947637</v>
      </c>
      <c r="K86" s="14">
        <f t="shared" si="32"/>
        <v>1.1150877248192459</v>
      </c>
      <c r="L86" s="14">
        <f t="shared" si="32"/>
        <v>1.0580422435489956</v>
      </c>
      <c r="M86" s="14">
        <f t="shared" si="32"/>
        <v>1.0256982344571439</v>
      </c>
      <c r="N86" s="14">
        <f t="shared" si="32"/>
        <v>1</v>
      </c>
    </row>
    <row r="87" spans="1:14" x14ac:dyDescent="0.2">
      <c r="A87" s="3" t="s">
        <v>5</v>
      </c>
      <c r="B87" s="14">
        <f t="shared" ref="B87:N87" si="33">$N$55/B61</f>
        <v>1.4764559006888065</v>
      </c>
      <c r="C87" s="14">
        <f t="shared" si="33"/>
        <v>1.4509574473949258</v>
      </c>
      <c r="D87" s="14">
        <f t="shared" si="33"/>
        <v>1.4166872980748975</v>
      </c>
      <c r="E87" s="14">
        <f t="shared" si="33"/>
        <v>1.3842804273906242</v>
      </c>
      <c r="F87" s="14">
        <f t="shared" si="33"/>
        <v>1.3473753795213497</v>
      </c>
      <c r="G87" s="14">
        <f t="shared" si="33"/>
        <v>1.3199808294761848</v>
      </c>
      <c r="H87" s="14">
        <f t="shared" si="33"/>
        <v>1.272434089083756</v>
      </c>
      <c r="I87" s="14">
        <f t="shared" si="33"/>
        <v>1.2341553658958073</v>
      </c>
      <c r="J87" s="14">
        <f t="shared" si="33"/>
        <v>1.1879507476947637</v>
      </c>
      <c r="K87" s="14">
        <f t="shared" si="33"/>
        <v>1.1150877248192459</v>
      </c>
      <c r="L87" s="14">
        <f t="shared" si="33"/>
        <v>1.0580422435489956</v>
      </c>
      <c r="M87" s="14">
        <f t="shared" si="33"/>
        <v>1.0256982344571439</v>
      </c>
      <c r="N87" s="14">
        <f t="shared" si="33"/>
        <v>1</v>
      </c>
    </row>
    <row r="88" spans="1:14" x14ac:dyDescent="0.2">
      <c r="A88" s="3" t="s">
        <v>6</v>
      </c>
      <c r="B88" s="14">
        <f t="shared" ref="B88:N88" si="34">$N$55/B62</f>
        <v>1.4764559006888065</v>
      </c>
      <c r="C88" s="14">
        <f t="shared" si="34"/>
        <v>1.4509574473949258</v>
      </c>
      <c r="D88" s="14">
        <f t="shared" si="34"/>
        <v>1.4166872980748975</v>
      </c>
      <c r="E88" s="14">
        <f t="shared" si="34"/>
        <v>1.3842804273906242</v>
      </c>
      <c r="F88" s="14">
        <f t="shared" si="34"/>
        <v>1.3473753795213497</v>
      </c>
      <c r="G88" s="14">
        <f t="shared" si="34"/>
        <v>1.3199808294761848</v>
      </c>
      <c r="H88" s="14">
        <f t="shared" si="34"/>
        <v>1.272434089083756</v>
      </c>
      <c r="I88" s="14">
        <f t="shared" si="34"/>
        <v>1.2341553658958073</v>
      </c>
      <c r="J88" s="14">
        <f t="shared" si="34"/>
        <v>1.1879507476947637</v>
      </c>
      <c r="K88" s="14">
        <f t="shared" si="34"/>
        <v>1.1150877248192459</v>
      </c>
      <c r="L88" s="14">
        <f t="shared" si="34"/>
        <v>1.0580422435489956</v>
      </c>
      <c r="M88" s="14">
        <f t="shared" si="34"/>
        <v>1.0256982344571439</v>
      </c>
      <c r="N88" s="14">
        <f t="shared" si="34"/>
        <v>1</v>
      </c>
    </row>
    <row r="89" spans="1:14" x14ac:dyDescent="0.2">
      <c r="A89" s="3" t="s">
        <v>7</v>
      </c>
      <c r="B89" s="14">
        <f t="shared" ref="B89:N89" si="35">$N$55/B63</f>
        <v>1.4764559006888065</v>
      </c>
      <c r="C89" s="14">
        <f t="shared" si="35"/>
        <v>1.4509574473949258</v>
      </c>
      <c r="D89" s="14">
        <f t="shared" si="35"/>
        <v>1.4166872980748975</v>
      </c>
      <c r="E89" s="14">
        <f t="shared" si="35"/>
        <v>1.3842804273906242</v>
      </c>
      <c r="F89" s="14">
        <f t="shared" si="35"/>
        <v>1.3473753795213497</v>
      </c>
      <c r="G89" s="14">
        <f t="shared" si="35"/>
        <v>1.3199808294761848</v>
      </c>
      <c r="H89" s="14">
        <f t="shared" si="35"/>
        <v>1.272434089083756</v>
      </c>
      <c r="I89" s="14">
        <f t="shared" si="35"/>
        <v>1.2341553658958073</v>
      </c>
      <c r="J89" s="14">
        <f t="shared" si="35"/>
        <v>1.1879507476947637</v>
      </c>
      <c r="K89" s="14">
        <f t="shared" si="35"/>
        <v>1.1150877248192459</v>
      </c>
      <c r="L89" s="14">
        <f t="shared" si="35"/>
        <v>1.0580422435489956</v>
      </c>
      <c r="M89" s="14">
        <f t="shared" si="35"/>
        <v>1.0256982344571439</v>
      </c>
      <c r="N89" s="14">
        <f t="shared" si="35"/>
        <v>1</v>
      </c>
    </row>
    <row r="90" spans="1:14" x14ac:dyDescent="0.2">
      <c r="A90" s="3" t="s">
        <v>8</v>
      </c>
      <c r="B90" s="14">
        <f t="shared" ref="B90:N90" si="36">$N$55/B64</f>
        <v>1.4764559006888065</v>
      </c>
      <c r="C90" s="14">
        <f t="shared" si="36"/>
        <v>1.4509574473949258</v>
      </c>
      <c r="D90" s="14">
        <f t="shared" si="36"/>
        <v>1.4166872980748975</v>
      </c>
      <c r="E90" s="14">
        <f t="shared" si="36"/>
        <v>1.3842804273906242</v>
      </c>
      <c r="F90" s="14">
        <f t="shared" si="36"/>
        <v>1.3473753795213497</v>
      </c>
      <c r="G90" s="14">
        <f t="shared" si="36"/>
        <v>1.3199808294761848</v>
      </c>
      <c r="H90" s="14">
        <f t="shared" si="36"/>
        <v>1.272434089083756</v>
      </c>
      <c r="I90" s="14">
        <f t="shared" si="36"/>
        <v>1.2341553658958073</v>
      </c>
      <c r="J90" s="14">
        <f t="shared" si="36"/>
        <v>1.1879507476947637</v>
      </c>
      <c r="K90" s="14">
        <f t="shared" si="36"/>
        <v>1.1150877248192459</v>
      </c>
      <c r="L90" s="14">
        <f t="shared" si="36"/>
        <v>1.0580422435489956</v>
      </c>
      <c r="M90" s="14">
        <f t="shared" si="36"/>
        <v>1.0256982344571439</v>
      </c>
      <c r="N90" s="14">
        <f t="shared" si="36"/>
        <v>1</v>
      </c>
    </row>
    <row r="91" spans="1:14" x14ac:dyDescent="0.2">
      <c r="A91" s="54" t="s">
        <v>67</v>
      </c>
      <c r="B91" s="14">
        <f t="shared" ref="B91:N91" si="37">$N$55/B65</f>
        <v>1.4764559006888065</v>
      </c>
      <c r="C91" s="14">
        <f t="shared" si="37"/>
        <v>1.4509574473949258</v>
      </c>
      <c r="D91" s="14">
        <f t="shared" si="37"/>
        <v>1.4166872980748975</v>
      </c>
      <c r="E91" s="14">
        <f t="shared" si="37"/>
        <v>1.3842804273906242</v>
      </c>
      <c r="F91" s="14">
        <f t="shared" si="37"/>
        <v>1.3473753795213497</v>
      </c>
      <c r="G91" s="14">
        <f t="shared" si="37"/>
        <v>1.3199808294761848</v>
      </c>
      <c r="H91" s="14">
        <f t="shared" si="37"/>
        <v>1.272434089083756</v>
      </c>
      <c r="I91" s="14">
        <f t="shared" si="37"/>
        <v>1.2341553658958073</v>
      </c>
      <c r="J91" s="14">
        <f t="shared" si="37"/>
        <v>1.1879507476947637</v>
      </c>
      <c r="K91" s="14">
        <f t="shared" si="37"/>
        <v>1.1150877248192459</v>
      </c>
      <c r="L91" s="14">
        <f t="shared" si="37"/>
        <v>1.0580422435489956</v>
      </c>
      <c r="M91" s="14">
        <f t="shared" si="37"/>
        <v>1.0256982344571439</v>
      </c>
      <c r="N91" s="14">
        <f t="shared" si="37"/>
        <v>1</v>
      </c>
    </row>
    <row r="92" spans="1:14" x14ac:dyDescent="0.2">
      <c r="A92" s="3" t="s">
        <v>9</v>
      </c>
      <c r="B92" s="14">
        <f t="shared" ref="B92:N92" si="38">$N$55/B66</f>
        <v>1.4764559006888065</v>
      </c>
      <c r="C92" s="14">
        <f t="shared" si="38"/>
        <v>1.4509574473949258</v>
      </c>
      <c r="D92" s="14">
        <f t="shared" si="38"/>
        <v>1.4166872980748975</v>
      </c>
      <c r="E92" s="14">
        <f t="shared" si="38"/>
        <v>1.3842804273906242</v>
      </c>
      <c r="F92" s="14">
        <f t="shared" si="38"/>
        <v>1.3473753795213497</v>
      </c>
      <c r="G92" s="14">
        <f t="shared" si="38"/>
        <v>1.3199808294761848</v>
      </c>
      <c r="H92" s="14">
        <f t="shared" si="38"/>
        <v>1.272434089083756</v>
      </c>
      <c r="I92" s="14">
        <f t="shared" si="38"/>
        <v>1.2341553658958073</v>
      </c>
      <c r="J92" s="14">
        <f t="shared" si="38"/>
        <v>1.1879507476947637</v>
      </c>
      <c r="K92" s="14">
        <f t="shared" si="38"/>
        <v>1.1150877248192459</v>
      </c>
      <c r="L92" s="14">
        <f t="shared" si="38"/>
        <v>1.0580422435489956</v>
      </c>
      <c r="M92" s="14">
        <f t="shared" si="38"/>
        <v>1.0256982344571439</v>
      </c>
      <c r="N92" s="14">
        <f t="shared" si="38"/>
        <v>1</v>
      </c>
    </row>
    <row r="93" spans="1:14" x14ac:dyDescent="0.2">
      <c r="A93" s="3" t="s">
        <v>39</v>
      </c>
      <c r="B93" s="14">
        <f t="shared" ref="B93:N93" si="39">$N$55/B67</f>
        <v>1.4764559006888065</v>
      </c>
      <c r="C93" s="14">
        <f t="shared" si="39"/>
        <v>1.4509574473949258</v>
      </c>
      <c r="D93" s="14">
        <f t="shared" si="39"/>
        <v>1.4166872980748975</v>
      </c>
      <c r="E93" s="14">
        <f t="shared" si="39"/>
        <v>1.3842804273906242</v>
      </c>
      <c r="F93" s="14">
        <f t="shared" si="39"/>
        <v>1.3473753795213497</v>
      </c>
      <c r="G93" s="14">
        <f t="shared" si="39"/>
        <v>1.3199808294761848</v>
      </c>
      <c r="H93" s="14">
        <f t="shared" si="39"/>
        <v>1.272434089083756</v>
      </c>
      <c r="I93" s="14">
        <f t="shared" si="39"/>
        <v>1.2341553658958073</v>
      </c>
      <c r="J93" s="14">
        <f t="shared" si="39"/>
        <v>1.1879507476947637</v>
      </c>
      <c r="K93" s="14">
        <f t="shared" si="39"/>
        <v>1.1150877248192459</v>
      </c>
      <c r="L93" s="14">
        <f t="shared" si="39"/>
        <v>1.0580422435489956</v>
      </c>
      <c r="M93" s="14">
        <f t="shared" si="39"/>
        <v>1.0256982344571439</v>
      </c>
      <c r="N93" s="14">
        <f t="shared" si="39"/>
        <v>1</v>
      </c>
    </row>
    <row r="94" spans="1:14" x14ac:dyDescent="0.2">
      <c r="A94" s="3" t="s">
        <v>10</v>
      </c>
      <c r="B94" s="14">
        <f t="shared" ref="B94:N94" si="40">$N$55/B68</f>
        <v>1.4764559006888065</v>
      </c>
      <c r="C94" s="14">
        <f t="shared" si="40"/>
        <v>1.4509574473949258</v>
      </c>
      <c r="D94" s="14">
        <f t="shared" si="40"/>
        <v>1.4166872980748975</v>
      </c>
      <c r="E94" s="14">
        <f t="shared" si="40"/>
        <v>1.3842804273906242</v>
      </c>
      <c r="F94" s="14">
        <f t="shared" si="40"/>
        <v>1.3473753795213497</v>
      </c>
      <c r="G94" s="14">
        <f t="shared" si="40"/>
        <v>1.3199808294761848</v>
      </c>
      <c r="H94" s="14">
        <f t="shared" si="40"/>
        <v>1.272434089083756</v>
      </c>
      <c r="I94" s="14">
        <f t="shared" si="40"/>
        <v>1.2341553658958073</v>
      </c>
      <c r="J94" s="14">
        <f t="shared" si="40"/>
        <v>1.1879507476947637</v>
      </c>
      <c r="K94" s="14">
        <f t="shared" si="40"/>
        <v>1.1150877248192459</v>
      </c>
      <c r="L94" s="14">
        <f t="shared" si="40"/>
        <v>1.0580422435489956</v>
      </c>
      <c r="M94" s="14">
        <f t="shared" si="40"/>
        <v>1.0256982344571439</v>
      </c>
      <c r="N94" s="14">
        <f t="shared" si="40"/>
        <v>1</v>
      </c>
    </row>
    <row r="95" spans="1:14" x14ac:dyDescent="0.2">
      <c r="A95" s="3" t="s">
        <v>11</v>
      </c>
      <c r="B95" s="14">
        <f t="shared" ref="B95:N95" si="41">$N$55/B69</f>
        <v>1.4764559006888065</v>
      </c>
      <c r="C95" s="14">
        <f t="shared" si="41"/>
        <v>1.4509574473949258</v>
      </c>
      <c r="D95" s="14">
        <f t="shared" si="41"/>
        <v>1.4166872980748975</v>
      </c>
      <c r="E95" s="14">
        <f t="shared" si="41"/>
        <v>1.3842804273906242</v>
      </c>
      <c r="F95" s="14">
        <f t="shared" si="41"/>
        <v>1.3473753795213497</v>
      </c>
      <c r="G95" s="14">
        <f t="shared" si="41"/>
        <v>1.3199808294761848</v>
      </c>
      <c r="H95" s="14">
        <f t="shared" si="41"/>
        <v>1.272434089083756</v>
      </c>
      <c r="I95" s="14">
        <f t="shared" si="41"/>
        <v>1.2341553658958073</v>
      </c>
      <c r="J95" s="14">
        <f t="shared" si="41"/>
        <v>1.1879507476947637</v>
      </c>
      <c r="K95" s="14">
        <f t="shared" si="41"/>
        <v>1.1150877248192459</v>
      </c>
      <c r="L95" s="14">
        <f t="shared" si="41"/>
        <v>1.0580422435489956</v>
      </c>
      <c r="M95" s="14">
        <f t="shared" si="41"/>
        <v>1.0256982344571439</v>
      </c>
      <c r="N95" s="14">
        <f t="shared" si="41"/>
        <v>1</v>
      </c>
    </row>
    <row r="96" spans="1:14" x14ac:dyDescent="0.2">
      <c r="A96" s="3" t="s">
        <v>12</v>
      </c>
      <c r="B96" s="14">
        <f t="shared" ref="B96:N96" si="42">$N$55/B70</f>
        <v>1.4764559006888065</v>
      </c>
      <c r="C96" s="14">
        <f t="shared" si="42"/>
        <v>1.4509574473949258</v>
      </c>
      <c r="D96" s="14">
        <f t="shared" si="42"/>
        <v>1.4166872980748975</v>
      </c>
      <c r="E96" s="14">
        <f t="shared" si="42"/>
        <v>1.3842804273906242</v>
      </c>
      <c r="F96" s="14">
        <f t="shared" si="42"/>
        <v>1.3473753795213497</v>
      </c>
      <c r="G96" s="14">
        <f t="shared" si="42"/>
        <v>1.3199808294761848</v>
      </c>
      <c r="H96" s="14">
        <f t="shared" si="42"/>
        <v>1.272434089083756</v>
      </c>
      <c r="I96" s="14">
        <f t="shared" si="42"/>
        <v>1.2341553658958073</v>
      </c>
      <c r="J96" s="14">
        <f t="shared" si="42"/>
        <v>1.1879507476947637</v>
      </c>
      <c r="K96" s="14">
        <f t="shared" si="42"/>
        <v>1.1150877248192459</v>
      </c>
      <c r="L96" s="14">
        <f t="shared" si="42"/>
        <v>1.0580422435489956</v>
      </c>
      <c r="M96" s="14">
        <f t="shared" si="42"/>
        <v>1.0256982344571439</v>
      </c>
      <c r="N96" s="14">
        <f t="shared" si="42"/>
        <v>1</v>
      </c>
    </row>
    <row r="97" spans="1:14" x14ac:dyDescent="0.2">
      <c r="A97" s="3" t="s">
        <v>13</v>
      </c>
      <c r="B97" s="14">
        <f t="shared" ref="B97:N97" si="43">$N$55/B71</f>
        <v>1.4764559006888065</v>
      </c>
      <c r="C97" s="14">
        <f t="shared" si="43"/>
        <v>1.4509574473949258</v>
      </c>
      <c r="D97" s="14">
        <f t="shared" si="43"/>
        <v>1.4166872980748975</v>
      </c>
      <c r="E97" s="14">
        <f t="shared" si="43"/>
        <v>1.3842804273906242</v>
      </c>
      <c r="F97" s="14">
        <f t="shared" si="43"/>
        <v>1.3473753795213497</v>
      </c>
      <c r="G97" s="14">
        <f t="shared" si="43"/>
        <v>1.3199808294761848</v>
      </c>
      <c r="H97" s="14">
        <f t="shared" si="43"/>
        <v>1.272434089083756</v>
      </c>
      <c r="I97" s="14">
        <f t="shared" si="43"/>
        <v>1.2341553658958073</v>
      </c>
      <c r="J97" s="14">
        <f t="shared" si="43"/>
        <v>1.1879507476947637</v>
      </c>
      <c r="K97" s="14">
        <f t="shared" si="43"/>
        <v>1.1150877248192459</v>
      </c>
      <c r="L97" s="14">
        <f t="shared" si="43"/>
        <v>1.0580422435489956</v>
      </c>
      <c r="M97" s="14">
        <f t="shared" si="43"/>
        <v>1.0256982344571439</v>
      </c>
      <c r="N97" s="14">
        <f t="shared" si="43"/>
        <v>1</v>
      </c>
    </row>
    <row r="98" spans="1:14" x14ac:dyDescent="0.2">
      <c r="A98" s="3" t="s">
        <v>14</v>
      </c>
      <c r="B98" s="14">
        <f t="shared" ref="B98:N98" si="44">$N$55/B72</f>
        <v>1.4764559006888065</v>
      </c>
      <c r="C98" s="14">
        <f t="shared" si="44"/>
        <v>1.4509574473949258</v>
      </c>
      <c r="D98" s="14">
        <f t="shared" si="44"/>
        <v>1.4166872980748975</v>
      </c>
      <c r="E98" s="14">
        <f t="shared" si="44"/>
        <v>1.3842804273906242</v>
      </c>
      <c r="F98" s="14">
        <f t="shared" si="44"/>
        <v>1.3473753795213497</v>
      </c>
      <c r="G98" s="14">
        <f t="shared" si="44"/>
        <v>1.3199808294761848</v>
      </c>
      <c r="H98" s="14">
        <f t="shared" si="44"/>
        <v>1.272434089083756</v>
      </c>
      <c r="I98" s="14">
        <f t="shared" si="44"/>
        <v>1.2341553658958073</v>
      </c>
      <c r="J98" s="14">
        <f t="shared" si="44"/>
        <v>1.1879507476947637</v>
      </c>
      <c r="K98" s="14">
        <f t="shared" si="44"/>
        <v>1.1150877248192459</v>
      </c>
      <c r="L98" s="14">
        <f t="shared" si="44"/>
        <v>1.0580422435489956</v>
      </c>
      <c r="M98" s="14">
        <f t="shared" si="44"/>
        <v>1.0256982344571439</v>
      </c>
      <c r="N98" s="14">
        <f t="shared" si="44"/>
        <v>1</v>
      </c>
    </row>
    <row r="99" spans="1:14" x14ac:dyDescent="0.2">
      <c r="A99" s="3" t="s">
        <v>15</v>
      </c>
      <c r="B99" s="14">
        <f t="shared" ref="B99:N99" si="45">$N$55/B73</f>
        <v>1.4764559006888065</v>
      </c>
      <c r="C99" s="14">
        <f t="shared" si="45"/>
        <v>1.4509574473949258</v>
      </c>
      <c r="D99" s="14">
        <f t="shared" si="45"/>
        <v>1.4166872980748975</v>
      </c>
      <c r="E99" s="14">
        <f t="shared" si="45"/>
        <v>1.3842804273906242</v>
      </c>
      <c r="F99" s="14">
        <f t="shared" si="45"/>
        <v>1.3473753795213497</v>
      </c>
      <c r="G99" s="14">
        <f t="shared" si="45"/>
        <v>1.3199808294761848</v>
      </c>
      <c r="H99" s="14">
        <f t="shared" si="45"/>
        <v>1.272434089083756</v>
      </c>
      <c r="I99" s="14">
        <f t="shared" si="45"/>
        <v>1.2341553658958073</v>
      </c>
      <c r="J99" s="14">
        <f t="shared" si="45"/>
        <v>1.1879507476947637</v>
      </c>
      <c r="K99" s="14">
        <f t="shared" si="45"/>
        <v>1.1150877248192459</v>
      </c>
      <c r="L99" s="14">
        <f t="shared" si="45"/>
        <v>1.0580422435489956</v>
      </c>
      <c r="M99" s="14">
        <f t="shared" si="45"/>
        <v>1.0256982344571439</v>
      </c>
      <c r="N99" s="14">
        <f t="shared" si="45"/>
        <v>1</v>
      </c>
    </row>
    <row r="100" spans="1:14" x14ac:dyDescent="0.2">
      <c r="A100" s="3" t="s">
        <v>16</v>
      </c>
      <c r="B100" s="14">
        <f t="shared" ref="B100:N100" si="46">$N$55/B74</f>
        <v>1.4764559006888065</v>
      </c>
      <c r="C100" s="14">
        <f t="shared" si="46"/>
        <v>1.4509574473949258</v>
      </c>
      <c r="D100" s="14">
        <f t="shared" si="46"/>
        <v>1.4166872980748975</v>
      </c>
      <c r="E100" s="14">
        <f t="shared" si="46"/>
        <v>1.3842804273906242</v>
      </c>
      <c r="F100" s="14">
        <f t="shared" si="46"/>
        <v>1.3473753795213497</v>
      </c>
      <c r="G100" s="14">
        <f t="shared" si="46"/>
        <v>1.3199808294761848</v>
      </c>
      <c r="H100" s="14">
        <f t="shared" si="46"/>
        <v>1.272434089083756</v>
      </c>
      <c r="I100" s="14">
        <f t="shared" si="46"/>
        <v>1.2341553658958073</v>
      </c>
      <c r="J100" s="14">
        <f t="shared" si="46"/>
        <v>1.1879507476947637</v>
      </c>
      <c r="K100" s="14">
        <f t="shared" si="46"/>
        <v>1.1150877248192459</v>
      </c>
      <c r="L100" s="14">
        <f t="shared" si="46"/>
        <v>1.0580422435489956</v>
      </c>
      <c r="M100" s="14">
        <f t="shared" si="46"/>
        <v>1.0256982344571439</v>
      </c>
      <c r="N100" s="14">
        <f t="shared" si="46"/>
        <v>1</v>
      </c>
    </row>
    <row r="101" spans="1:14" x14ac:dyDescent="0.2">
      <c r="A101" s="3" t="s">
        <v>87</v>
      </c>
      <c r="B101" s="14">
        <f t="shared" ref="B101:N101" si="47">$N$55/B75</f>
        <v>1.4764559006888065</v>
      </c>
      <c r="C101" s="14">
        <f t="shared" si="47"/>
        <v>1.4509574473949258</v>
      </c>
      <c r="D101" s="14">
        <f t="shared" si="47"/>
        <v>1.4166872980748975</v>
      </c>
      <c r="E101" s="14">
        <f t="shared" si="47"/>
        <v>1.3842804273906242</v>
      </c>
      <c r="F101" s="14">
        <f t="shared" si="47"/>
        <v>1.3473753795213497</v>
      </c>
      <c r="G101" s="14">
        <f t="shared" si="47"/>
        <v>1.3199808294761848</v>
      </c>
      <c r="H101" s="14">
        <f t="shared" si="47"/>
        <v>1.272434089083756</v>
      </c>
      <c r="I101" s="14">
        <f t="shared" si="47"/>
        <v>1.2341553658958073</v>
      </c>
      <c r="J101" s="14">
        <f t="shared" si="47"/>
        <v>1.1879507476947637</v>
      </c>
      <c r="K101" s="14">
        <f t="shared" si="47"/>
        <v>1.1150877248192459</v>
      </c>
      <c r="L101" s="14">
        <f t="shared" si="47"/>
        <v>1.0580422435489956</v>
      </c>
      <c r="M101" s="14">
        <f t="shared" si="47"/>
        <v>1.0256982344571439</v>
      </c>
      <c r="N101" s="14">
        <f t="shared" si="47"/>
        <v>1</v>
      </c>
    </row>
    <row r="102" spans="1:14" x14ac:dyDescent="0.2">
      <c r="A102" s="3" t="s">
        <v>17</v>
      </c>
      <c r="B102" s="14">
        <f t="shared" ref="B102:N102" si="48">$N$55/B76</f>
        <v>1.4764559006888065</v>
      </c>
      <c r="C102" s="14">
        <f t="shared" si="48"/>
        <v>1.4509574473949258</v>
      </c>
      <c r="D102" s="14">
        <f t="shared" si="48"/>
        <v>1.4166872980748975</v>
      </c>
      <c r="E102" s="14">
        <f t="shared" si="48"/>
        <v>1.3842804273906242</v>
      </c>
      <c r="F102" s="14">
        <f t="shared" si="48"/>
        <v>1.3473753795213497</v>
      </c>
      <c r="G102" s="14">
        <f t="shared" si="48"/>
        <v>1.3199808294761848</v>
      </c>
      <c r="H102" s="14">
        <f t="shared" si="48"/>
        <v>1.272434089083756</v>
      </c>
      <c r="I102" s="14">
        <f t="shared" si="48"/>
        <v>1.2341553658958073</v>
      </c>
      <c r="J102" s="14">
        <f t="shared" si="48"/>
        <v>1.1879507476947637</v>
      </c>
      <c r="K102" s="14">
        <f t="shared" si="48"/>
        <v>1.1150877248192459</v>
      </c>
      <c r="L102" s="14">
        <f t="shared" si="48"/>
        <v>1.0580422435489956</v>
      </c>
      <c r="M102" s="14">
        <f t="shared" si="48"/>
        <v>1.0256982344571439</v>
      </c>
      <c r="N102" s="14">
        <f t="shared" si="48"/>
        <v>1</v>
      </c>
    </row>
    <row r="103" spans="1:14" x14ac:dyDescent="0.2">
      <c r="A103" s="3" t="s">
        <v>18</v>
      </c>
      <c r="B103" s="14">
        <f t="shared" ref="B103:N103" si="49">$N$55/B77</f>
        <v>1.4764559006888065</v>
      </c>
      <c r="C103" s="14">
        <f t="shared" si="49"/>
        <v>1.4509574473949258</v>
      </c>
      <c r="D103" s="14">
        <f t="shared" si="49"/>
        <v>1.4166872980748975</v>
      </c>
      <c r="E103" s="14">
        <f t="shared" si="49"/>
        <v>1.3842804273906242</v>
      </c>
      <c r="F103" s="14">
        <f t="shared" si="49"/>
        <v>1.3473753795213497</v>
      </c>
      <c r="G103" s="14">
        <f t="shared" si="49"/>
        <v>1.3199808294761848</v>
      </c>
      <c r="H103" s="14">
        <f t="shared" si="49"/>
        <v>1.272434089083756</v>
      </c>
      <c r="I103" s="14">
        <f t="shared" si="49"/>
        <v>1.2341553658958073</v>
      </c>
      <c r="J103" s="14">
        <f t="shared" si="49"/>
        <v>1.1879507476947637</v>
      </c>
      <c r="K103" s="14">
        <f t="shared" si="49"/>
        <v>1.1150877248192459</v>
      </c>
      <c r="L103" s="14">
        <f t="shared" si="49"/>
        <v>1.0580422435489956</v>
      </c>
      <c r="M103" s="14">
        <f t="shared" si="49"/>
        <v>1.0256982344571439</v>
      </c>
      <c r="N103" s="14">
        <f t="shared" si="49"/>
        <v>1</v>
      </c>
    </row>
    <row r="104" spans="1:14" x14ac:dyDescent="0.2">
      <c r="A104" s="3" t="s">
        <v>81</v>
      </c>
      <c r="B104" s="14">
        <f t="shared" ref="B104:N104" si="50">$N$55/B78</f>
        <v>1.4764559006888065</v>
      </c>
      <c r="C104" s="14">
        <f t="shared" si="50"/>
        <v>1.4509574473949258</v>
      </c>
      <c r="D104" s="14">
        <f t="shared" si="50"/>
        <v>1.4166872980748975</v>
      </c>
      <c r="E104" s="14">
        <f t="shared" si="50"/>
        <v>1.3842804273906242</v>
      </c>
      <c r="F104" s="14">
        <f t="shared" si="50"/>
        <v>1.3473753795213497</v>
      </c>
      <c r="G104" s="14">
        <f t="shared" si="50"/>
        <v>1.3199808294761848</v>
      </c>
      <c r="H104" s="14">
        <f t="shared" si="50"/>
        <v>1.272434089083756</v>
      </c>
      <c r="I104" s="14">
        <f t="shared" si="50"/>
        <v>1.2341553658958073</v>
      </c>
      <c r="J104" s="14">
        <f t="shared" si="50"/>
        <v>1.1879507476947637</v>
      </c>
      <c r="K104" s="14">
        <f t="shared" si="50"/>
        <v>1.1150877248192459</v>
      </c>
      <c r="L104" s="14">
        <f t="shared" si="50"/>
        <v>1.0580422435489956</v>
      </c>
      <c r="M104" s="14">
        <f t="shared" si="50"/>
        <v>1.0256982344571439</v>
      </c>
      <c r="N104" s="14">
        <f t="shared" si="50"/>
        <v>1</v>
      </c>
    </row>
    <row r="106" spans="1:14" x14ac:dyDescent="0.2">
      <c r="A106" s="52" t="s">
        <v>73</v>
      </c>
      <c r="B106" s="53">
        <v>43070</v>
      </c>
      <c r="C106" s="53">
        <v>43101</v>
      </c>
      <c r="D106" s="53">
        <v>43132</v>
      </c>
      <c r="E106" s="53">
        <v>43160</v>
      </c>
      <c r="F106" s="53">
        <v>43191</v>
      </c>
      <c r="G106" s="53">
        <v>43221</v>
      </c>
      <c r="H106" s="53">
        <v>43252</v>
      </c>
      <c r="I106" s="53">
        <v>43282</v>
      </c>
      <c r="J106" s="53">
        <v>43313</v>
      </c>
      <c r="K106" s="53">
        <v>43344</v>
      </c>
      <c r="L106" s="53">
        <v>43374</v>
      </c>
      <c r="M106" s="53">
        <v>43405</v>
      </c>
      <c r="N106" s="53">
        <v>43435</v>
      </c>
    </row>
    <row r="107" spans="1:14" x14ac:dyDescent="0.2">
      <c r="A107" s="3" t="s">
        <v>0</v>
      </c>
      <c r="B107" s="4">
        <f>B29*B81</f>
        <v>2823.4266188872048</v>
      </c>
      <c r="C107" s="4">
        <f t="shared" ref="C107:N107" si="51">C29*C81</f>
        <v>320.66159587427893</v>
      </c>
      <c r="D107" s="4">
        <f t="shared" si="51"/>
        <v>-374.00544669177327</v>
      </c>
      <c r="E107" s="4">
        <f t="shared" si="51"/>
        <v>-528.79512326321844</v>
      </c>
      <c r="F107" s="4">
        <f t="shared" si="51"/>
        <v>-667.6686348844562</v>
      </c>
      <c r="G107" s="4">
        <f t="shared" si="51"/>
        <v>-96.40183755353263</v>
      </c>
      <c r="H107" s="4">
        <f t="shared" si="51"/>
        <v>2.5031886069685814</v>
      </c>
      <c r="I107" s="4">
        <f t="shared" si="51"/>
        <v>131.39712074614391</v>
      </c>
      <c r="J107" s="4">
        <f t="shared" si="51"/>
        <v>17.780348961973651</v>
      </c>
      <c r="K107" s="4">
        <f t="shared" si="51"/>
        <v>-24.568455514315904</v>
      </c>
      <c r="L107" s="4">
        <f t="shared" si="51"/>
        <v>-386.22007589443774</v>
      </c>
      <c r="M107" s="4">
        <f t="shared" si="51"/>
        <v>133.30717293362432</v>
      </c>
      <c r="N107" s="4">
        <f t="shared" si="51"/>
        <v>-18.032755780087768</v>
      </c>
    </row>
    <row r="108" spans="1:14" x14ac:dyDescent="0.2">
      <c r="A108" s="3" t="s">
        <v>1</v>
      </c>
      <c r="B108" s="4">
        <f t="shared" ref="B108:N108" si="52">B30*B82</f>
        <v>0</v>
      </c>
      <c r="C108" s="4">
        <f t="shared" si="52"/>
        <v>0</v>
      </c>
      <c r="D108" s="4">
        <f t="shared" si="52"/>
        <v>0</v>
      </c>
      <c r="E108" s="4">
        <f t="shared" si="52"/>
        <v>553.71217095624968</v>
      </c>
      <c r="F108" s="4">
        <f t="shared" si="52"/>
        <v>67.368768976067486</v>
      </c>
      <c r="G108" s="4">
        <f t="shared" si="52"/>
        <v>118.79827465285663</v>
      </c>
      <c r="H108" s="4">
        <f t="shared" si="52"/>
        <v>114.51906801753805</v>
      </c>
      <c r="I108" s="4">
        <f t="shared" si="52"/>
        <v>88.859186344498127</v>
      </c>
      <c r="J108" s="4">
        <f t="shared" si="52"/>
        <v>32.07467018775862</v>
      </c>
      <c r="K108" s="4">
        <f t="shared" si="52"/>
        <v>-90.322105710358912</v>
      </c>
      <c r="L108" s="4">
        <f t="shared" si="52"/>
        <v>366.08261626795246</v>
      </c>
      <c r="M108" s="4">
        <f t="shared" si="52"/>
        <v>43.079325847200046</v>
      </c>
      <c r="N108" s="4">
        <f t="shared" si="52"/>
        <v>28</v>
      </c>
    </row>
    <row r="109" spans="1:14" x14ac:dyDescent="0.2">
      <c r="A109" s="3" t="s">
        <v>2</v>
      </c>
      <c r="B109" s="4">
        <f t="shared" ref="B109:N109" si="53">B31*B83</f>
        <v>349.92004846324716</v>
      </c>
      <c r="C109" s="4">
        <f t="shared" si="53"/>
        <v>-174.11489368739109</v>
      </c>
      <c r="D109" s="4">
        <f t="shared" si="53"/>
        <v>9.916811086524282</v>
      </c>
      <c r="E109" s="4">
        <f t="shared" si="53"/>
        <v>151.57870679927333</v>
      </c>
      <c r="F109" s="4">
        <f t="shared" si="53"/>
        <v>-125.9795979852462</v>
      </c>
      <c r="G109" s="4">
        <f t="shared" si="53"/>
        <v>13.199808294761848</v>
      </c>
      <c r="H109" s="4">
        <f t="shared" si="53"/>
        <v>145.69370320009006</v>
      </c>
      <c r="I109" s="4">
        <f t="shared" si="53"/>
        <v>-110.45690524767475</v>
      </c>
      <c r="J109" s="4">
        <f t="shared" si="53"/>
        <v>-52.269832898569604</v>
      </c>
      <c r="K109" s="4">
        <f t="shared" si="53"/>
        <v>21.186666771565672</v>
      </c>
      <c r="L109" s="4">
        <f t="shared" si="53"/>
        <v>158.70633653234933</v>
      </c>
      <c r="M109" s="4">
        <f t="shared" si="53"/>
        <v>-37.950834674914326</v>
      </c>
      <c r="N109" s="4">
        <f t="shared" si="53"/>
        <v>-6</v>
      </c>
    </row>
    <row r="110" spans="1:14" x14ac:dyDescent="0.2">
      <c r="A110" s="3" t="s">
        <v>3</v>
      </c>
      <c r="B110" s="4">
        <f t="shared" ref="B110:N110" si="54">B32*B84</f>
        <v>243.61522361365309</v>
      </c>
      <c r="C110" s="4">
        <f t="shared" si="54"/>
        <v>0</v>
      </c>
      <c r="D110" s="4">
        <f t="shared" si="54"/>
        <v>0</v>
      </c>
      <c r="E110" s="4">
        <f t="shared" si="54"/>
        <v>0</v>
      </c>
      <c r="F110" s="4">
        <f t="shared" si="54"/>
        <v>0</v>
      </c>
      <c r="G110" s="4">
        <f t="shared" si="54"/>
        <v>0</v>
      </c>
      <c r="H110" s="4">
        <f t="shared" si="54"/>
        <v>0</v>
      </c>
      <c r="I110" s="4">
        <f t="shared" si="54"/>
        <v>0</v>
      </c>
      <c r="J110" s="4">
        <f t="shared" si="54"/>
        <v>0</v>
      </c>
      <c r="K110" s="4">
        <f t="shared" si="54"/>
        <v>0</v>
      </c>
      <c r="L110" s="4">
        <f t="shared" si="54"/>
        <v>0</v>
      </c>
      <c r="M110" s="4">
        <f t="shared" si="54"/>
        <v>0</v>
      </c>
      <c r="N110" s="4">
        <f t="shared" si="54"/>
        <v>0</v>
      </c>
    </row>
    <row r="111" spans="1:14" x14ac:dyDescent="0.2">
      <c r="A111" s="3" t="s">
        <v>19</v>
      </c>
      <c r="B111" s="4">
        <f t="shared" ref="B111:N111" si="55">B33*B85</f>
        <v>0</v>
      </c>
      <c r="C111" s="4">
        <f t="shared" si="55"/>
        <v>127.68425537075348</v>
      </c>
      <c r="D111" s="4">
        <f t="shared" si="55"/>
        <v>133.16860601904037</v>
      </c>
      <c r="E111" s="4">
        <f t="shared" si="55"/>
        <v>137.0437623116718</v>
      </c>
      <c r="F111" s="4">
        <f t="shared" si="55"/>
        <v>142.82179022926306</v>
      </c>
      <c r="G111" s="4">
        <f t="shared" si="55"/>
        <v>150.47781456028505</v>
      </c>
      <c r="H111" s="4">
        <f t="shared" si="55"/>
        <v>155.23695886821824</v>
      </c>
      <c r="I111" s="4">
        <f t="shared" si="55"/>
        <v>139.45955634622624</v>
      </c>
      <c r="J111" s="4">
        <f t="shared" si="55"/>
        <v>117.6071240217816</v>
      </c>
      <c r="K111" s="4">
        <f t="shared" si="55"/>
        <v>127.12000062939403</v>
      </c>
      <c r="L111" s="4">
        <f t="shared" si="55"/>
        <v>240.17558928562198</v>
      </c>
      <c r="M111" s="4">
        <f t="shared" si="55"/>
        <v>204.11394865697164</v>
      </c>
      <c r="N111" s="4">
        <f t="shared" si="55"/>
        <v>215</v>
      </c>
    </row>
    <row r="112" spans="1:14" x14ac:dyDescent="0.2">
      <c r="A112" s="3" t="s">
        <v>4</v>
      </c>
      <c r="B112" s="4">
        <f t="shared" ref="B112:N112" si="56">B34*B86</f>
        <v>3654.6673481077955</v>
      </c>
      <c r="C112" s="4">
        <f t="shared" si="56"/>
        <v>0</v>
      </c>
      <c r="D112" s="4">
        <f t="shared" si="56"/>
        <v>0</v>
      </c>
      <c r="E112" s="4">
        <f t="shared" si="56"/>
        <v>0</v>
      </c>
      <c r="F112" s="4">
        <f t="shared" si="56"/>
        <v>471.5813828324724</v>
      </c>
      <c r="G112" s="4">
        <f t="shared" si="56"/>
        <v>0</v>
      </c>
      <c r="H112" s="4">
        <f t="shared" si="56"/>
        <v>0</v>
      </c>
      <c r="I112" s="4">
        <f t="shared" si="56"/>
        <v>0</v>
      </c>
      <c r="J112" s="4">
        <f t="shared" si="56"/>
        <v>0</v>
      </c>
      <c r="K112" s="4">
        <f t="shared" si="56"/>
        <v>0</v>
      </c>
      <c r="L112" s="4">
        <f t="shared" si="56"/>
        <v>0</v>
      </c>
      <c r="M112" s="4">
        <f t="shared" si="56"/>
        <v>0</v>
      </c>
      <c r="N112" s="4">
        <f t="shared" si="56"/>
        <v>0</v>
      </c>
    </row>
    <row r="113" spans="1:14" x14ac:dyDescent="0.2">
      <c r="A113" s="3" t="s">
        <v>5</v>
      </c>
      <c r="B113" s="4">
        <f t="shared" ref="B113:N113" si="57">B35*B87</f>
        <v>-1306.9730582157208</v>
      </c>
      <c r="C113" s="4">
        <f t="shared" si="57"/>
        <v>-11.583476955036138</v>
      </c>
      <c r="D113" s="4">
        <f t="shared" si="57"/>
        <v>-11.309886929631286</v>
      </c>
      <c r="E113" s="4">
        <f t="shared" si="57"/>
        <v>-11.051172078668465</v>
      </c>
      <c r="F113" s="4">
        <f t="shared" si="57"/>
        <v>-10.756546779845461</v>
      </c>
      <c r="G113" s="4">
        <f t="shared" si="57"/>
        <v>-10.537846955318228</v>
      </c>
      <c r="H113" s="4">
        <f t="shared" si="57"/>
        <v>-10.158265477851932</v>
      </c>
      <c r="I113" s="4">
        <f t="shared" si="57"/>
        <v>-9.8526736710682137</v>
      </c>
      <c r="J113" s="4">
        <f t="shared" si="57"/>
        <v>-9.4838068024298821</v>
      </c>
      <c r="K113" s="4">
        <f t="shared" si="57"/>
        <v>-8.9021170031402672</v>
      </c>
      <c r="L113" s="4">
        <f t="shared" si="57"/>
        <v>-8.4467039109994975</v>
      </c>
      <c r="M113" s="4">
        <f t="shared" si="57"/>
        <v>-8.1884909050828814</v>
      </c>
      <c r="N113" s="4">
        <f t="shared" si="57"/>
        <v>-7.9833333333333485</v>
      </c>
    </row>
    <row r="114" spans="1:14" x14ac:dyDescent="0.2">
      <c r="A114" s="3" t="s">
        <v>6</v>
      </c>
      <c r="B114" s="4">
        <f t="shared" ref="B114:N114" si="58">B36*B88</f>
        <v>-537.42994785072551</v>
      </c>
      <c r="C114" s="4">
        <f t="shared" si="58"/>
        <v>-127.68425537075348</v>
      </c>
      <c r="D114" s="4">
        <f t="shared" si="58"/>
        <v>382.50557048022233</v>
      </c>
      <c r="E114" s="4">
        <f t="shared" si="58"/>
        <v>-15.227084701296866</v>
      </c>
      <c r="F114" s="4">
        <f t="shared" si="58"/>
        <v>-16.168504554256195</v>
      </c>
      <c r="G114" s="4">
        <f t="shared" si="58"/>
        <v>-19.79971244214277</v>
      </c>
      <c r="H114" s="4">
        <f t="shared" si="58"/>
        <v>-20.358945425340096</v>
      </c>
      <c r="I114" s="4">
        <f t="shared" si="58"/>
        <v>1.2341553658958073</v>
      </c>
      <c r="J114" s="4">
        <f t="shared" si="58"/>
        <v>27.322867196979566</v>
      </c>
      <c r="K114" s="4">
        <f t="shared" si="58"/>
        <v>-1.1150877248192459</v>
      </c>
      <c r="L114" s="4">
        <f t="shared" si="58"/>
        <v>-135.42940717427143</v>
      </c>
      <c r="M114" s="4">
        <f t="shared" si="58"/>
        <v>-87.18434992885723</v>
      </c>
      <c r="N114" s="4">
        <f t="shared" si="58"/>
        <v>12</v>
      </c>
    </row>
    <row r="115" spans="1:14" x14ac:dyDescent="0.2">
      <c r="A115" s="3" t="s">
        <v>7</v>
      </c>
      <c r="B115" s="4">
        <f t="shared" ref="B115:N115" si="59">B37*B89</f>
        <v>0</v>
      </c>
      <c r="C115" s="4">
        <f t="shared" si="59"/>
        <v>0</v>
      </c>
      <c r="D115" s="4">
        <f t="shared" si="59"/>
        <v>0</v>
      </c>
      <c r="E115" s="4">
        <f t="shared" si="59"/>
        <v>0</v>
      </c>
      <c r="F115" s="4">
        <f t="shared" si="59"/>
        <v>-466.20388762357254</v>
      </c>
      <c r="G115" s="4">
        <f t="shared" si="59"/>
        <v>5.5096185030430238</v>
      </c>
      <c r="H115" s="4">
        <f t="shared" si="59"/>
        <v>5.5545858046636036</v>
      </c>
      <c r="I115" s="4">
        <f t="shared" si="59"/>
        <v>5.6344132925898824</v>
      </c>
      <c r="J115" s="4">
        <f t="shared" si="59"/>
        <v>5.6720464553053915</v>
      </c>
      <c r="K115" s="4">
        <f t="shared" si="59"/>
        <v>5.5681747773299097</v>
      </c>
      <c r="L115" s="4">
        <f t="shared" si="59"/>
        <v>5.5254710933294353</v>
      </c>
      <c r="M115" s="4">
        <f t="shared" si="59"/>
        <v>5.6020681942731239</v>
      </c>
      <c r="N115" s="4">
        <f t="shared" si="59"/>
        <v>5.7120403022611299</v>
      </c>
    </row>
    <row r="116" spans="1:14" x14ac:dyDescent="0.2">
      <c r="A116" s="3" t="s">
        <v>8</v>
      </c>
      <c r="B116" s="4">
        <f t="shared" ref="B116:N116" si="60">B38*B90</f>
        <v>-109.25773665097168</v>
      </c>
      <c r="C116" s="4">
        <f t="shared" si="60"/>
        <v>0</v>
      </c>
      <c r="D116" s="4">
        <f t="shared" si="60"/>
        <v>0</v>
      </c>
      <c r="E116" s="4">
        <f t="shared" si="60"/>
        <v>0</v>
      </c>
      <c r="F116" s="4">
        <f t="shared" si="60"/>
        <v>0</v>
      </c>
      <c r="G116" s="4">
        <f t="shared" si="60"/>
        <v>97.678581381237677</v>
      </c>
      <c r="H116" s="4">
        <f t="shared" si="60"/>
        <v>0</v>
      </c>
      <c r="I116" s="4">
        <f t="shared" si="60"/>
        <v>0</v>
      </c>
      <c r="J116" s="4">
        <f t="shared" si="60"/>
        <v>0</v>
      </c>
      <c r="K116" s="4">
        <f t="shared" si="60"/>
        <v>0</v>
      </c>
      <c r="L116" s="4">
        <f t="shared" si="60"/>
        <v>0</v>
      </c>
      <c r="M116" s="4">
        <f t="shared" si="60"/>
        <v>0</v>
      </c>
      <c r="N116" s="4">
        <f t="shared" si="60"/>
        <v>-115</v>
      </c>
    </row>
    <row r="117" spans="1:14" x14ac:dyDescent="0.2">
      <c r="A117" s="54" t="s">
        <v>67</v>
      </c>
      <c r="B117" s="4">
        <f t="shared" ref="B117:N117" si="61">B39*B91</f>
        <v>-245.97299360645601</v>
      </c>
      <c r="C117" s="4">
        <f t="shared" si="61"/>
        <v>0</v>
      </c>
      <c r="D117" s="4">
        <f t="shared" si="61"/>
        <v>0</v>
      </c>
      <c r="E117" s="4">
        <f t="shared" si="61"/>
        <v>0</v>
      </c>
      <c r="F117" s="4">
        <f t="shared" si="61"/>
        <v>0</v>
      </c>
      <c r="G117" s="4">
        <f t="shared" si="61"/>
        <v>0</v>
      </c>
      <c r="H117" s="4">
        <f t="shared" si="61"/>
        <v>0</v>
      </c>
      <c r="I117" s="4">
        <f t="shared" si="61"/>
        <v>0</v>
      </c>
      <c r="J117" s="4">
        <f t="shared" si="61"/>
        <v>0</v>
      </c>
      <c r="K117" s="4">
        <f t="shared" si="61"/>
        <v>0</v>
      </c>
      <c r="L117" s="4">
        <f t="shared" si="61"/>
        <v>0</v>
      </c>
      <c r="M117" s="4">
        <f t="shared" si="61"/>
        <v>0</v>
      </c>
      <c r="N117" s="4">
        <f t="shared" si="61"/>
        <v>0</v>
      </c>
    </row>
    <row r="118" spans="1:14" x14ac:dyDescent="0.2">
      <c r="A118" s="3" t="s">
        <v>9</v>
      </c>
      <c r="B118" s="4">
        <f t="shared" ref="B118:N118" si="62">B40*B92</f>
        <v>-21881.353033042244</v>
      </c>
      <c r="C118" s="4">
        <f t="shared" si="62"/>
        <v>0</v>
      </c>
      <c r="D118" s="4">
        <f t="shared" si="62"/>
        <v>0</v>
      </c>
      <c r="E118" s="4">
        <f t="shared" si="62"/>
        <v>0</v>
      </c>
      <c r="F118" s="4">
        <f t="shared" si="62"/>
        <v>0</v>
      </c>
      <c r="G118" s="4">
        <f t="shared" si="62"/>
        <v>0</v>
      </c>
      <c r="H118" s="4">
        <f t="shared" si="62"/>
        <v>0</v>
      </c>
      <c r="I118" s="4">
        <f t="shared" si="62"/>
        <v>0</v>
      </c>
      <c r="J118" s="4">
        <f t="shared" si="62"/>
        <v>0</v>
      </c>
      <c r="K118" s="4">
        <f t="shared" si="62"/>
        <v>0</v>
      </c>
      <c r="L118" s="4">
        <f t="shared" si="62"/>
        <v>0</v>
      </c>
      <c r="M118" s="4">
        <f t="shared" si="62"/>
        <v>0</v>
      </c>
      <c r="N118" s="4">
        <f t="shared" si="62"/>
        <v>0</v>
      </c>
    </row>
    <row r="119" spans="1:14" x14ac:dyDescent="0.2">
      <c r="A119" s="3" t="s">
        <v>39</v>
      </c>
      <c r="B119" s="4">
        <f t="shared" ref="B119:N119" si="63">B41*B93</f>
        <v>0</v>
      </c>
      <c r="C119" s="4">
        <f t="shared" si="63"/>
        <v>0</v>
      </c>
      <c r="D119" s="4">
        <f t="shared" si="63"/>
        <v>0</v>
      </c>
      <c r="E119" s="4">
        <f t="shared" si="63"/>
        <v>0</v>
      </c>
      <c r="F119" s="4">
        <f t="shared" si="63"/>
        <v>0</v>
      </c>
      <c r="G119" s="4">
        <f t="shared" si="63"/>
        <v>0</v>
      </c>
      <c r="H119" s="4">
        <f t="shared" si="63"/>
        <v>0</v>
      </c>
      <c r="I119" s="4">
        <f t="shared" si="63"/>
        <v>0</v>
      </c>
      <c r="J119" s="4">
        <f t="shared" si="63"/>
        <v>0</v>
      </c>
      <c r="K119" s="4">
        <f t="shared" si="63"/>
        <v>0</v>
      </c>
      <c r="L119" s="4">
        <f t="shared" si="63"/>
        <v>0</v>
      </c>
      <c r="M119" s="4">
        <f t="shared" si="63"/>
        <v>0</v>
      </c>
      <c r="N119" s="4">
        <f t="shared" si="63"/>
        <v>0</v>
      </c>
    </row>
    <row r="120" spans="1:14" x14ac:dyDescent="0.2">
      <c r="A120" s="3" t="s">
        <v>10</v>
      </c>
      <c r="B120" s="4">
        <f t="shared" ref="B120:N120" si="64">B42*B94</f>
        <v>-265.76206212398517</v>
      </c>
      <c r="C120" s="4">
        <f t="shared" si="64"/>
        <v>0</v>
      </c>
      <c r="D120" s="4">
        <f t="shared" si="64"/>
        <v>0</v>
      </c>
      <c r="E120" s="4">
        <f t="shared" si="64"/>
        <v>0</v>
      </c>
      <c r="F120" s="4">
        <f t="shared" si="64"/>
        <v>-10.105315346410123</v>
      </c>
      <c r="G120" s="4">
        <f t="shared" si="64"/>
        <v>0</v>
      </c>
      <c r="H120" s="4">
        <f t="shared" si="64"/>
        <v>0</v>
      </c>
      <c r="I120" s="4">
        <f t="shared" si="64"/>
        <v>0</v>
      </c>
      <c r="J120" s="4">
        <f t="shared" si="64"/>
        <v>0</v>
      </c>
      <c r="K120" s="4">
        <f t="shared" si="64"/>
        <v>0</v>
      </c>
      <c r="L120" s="4">
        <f t="shared" si="64"/>
        <v>0</v>
      </c>
      <c r="M120" s="4">
        <f t="shared" si="64"/>
        <v>0</v>
      </c>
      <c r="N120" s="4">
        <f t="shared" si="64"/>
        <v>0</v>
      </c>
    </row>
    <row r="121" spans="1:14" x14ac:dyDescent="0.2">
      <c r="A121" s="3" t="s">
        <v>11</v>
      </c>
      <c r="B121" s="4">
        <f t="shared" ref="B121:N121" si="65">B43*B95</f>
        <v>17275.119592418203</v>
      </c>
      <c r="C121" s="4">
        <f t="shared" si="65"/>
        <v>0</v>
      </c>
      <c r="D121" s="4">
        <f t="shared" si="65"/>
        <v>0</v>
      </c>
      <c r="E121" s="4">
        <f t="shared" si="65"/>
        <v>0</v>
      </c>
      <c r="F121" s="4">
        <f t="shared" si="65"/>
        <v>818.53054305921989</v>
      </c>
      <c r="G121" s="4">
        <f t="shared" si="65"/>
        <v>0</v>
      </c>
      <c r="H121" s="4">
        <f t="shared" si="65"/>
        <v>0</v>
      </c>
      <c r="I121" s="4">
        <f t="shared" si="65"/>
        <v>0</v>
      </c>
      <c r="J121" s="4">
        <f t="shared" si="65"/>
        <v>0</v>
      </c>
      <c r="K121" s="4">
        <f t="shared" si="65"/>
        <v>0</v>
      </c>
      <c r="L121" s="4">
        <f t="shared" si="65"/>
        <v>0</v>
      </c>
      <c r="M121" s="4">
        <f t="shared" si="65"/>
        <v>0</v>
      </c>
      <c r="N121" s="4">
        <f t="shared" si="65"/>
        <v>0</v>
      </c>
    </row>
    <row r="122" spans="1:14" x14ac:dyDescent="0.2">
      <c r="A122" s="3" t="s">
        <v>12</v>
      </c>
      <c r="B122" s="4">
        <f t="shared" ref="B122:N122" si="66">B44*B96</f>
        <v>0</v>
      </c>
      <c r="C122" s="4">
        <f t="shared" si="66"/>
        <v>-169.76202134520634</v>
      </c>
      <c r="D122" s="4">
        <f t="shared" si="66"/>
        <v>-175.66922496128728</v>
      </c>
      <c r="E122" s="4">
        <f t="shared" si="66"/>
        <v>-323.22947979571074</v>
      </c>
      <c r="F122" s="4">
        <f t="shared" si="66"/>
        <v>-188.63255313298896</v>
      </c>
      <c r="G122" s="4">
        <f t="shared" si="66"/>
        <v>-197.99712442142771</v>
      </c>
      <c r="H122" s="4">
        <f t="shared" si="66"/>
        <v>-336.55881656265348</v>
      </c>
      <c r="I122" s="4">
        <f t="shared" si="66"/>
        <v>-215.97718903176627</v>
      </c>
      <c r="J122" s="4">
        <f t="shared" si="66"/>
        <v>-155.62154794801404</v>
      </c>
      <c r="K122" s="4">
        <f t="shared" si="66"/>
        <v>-167.26315872288689</v>
      </c>
      <c r="L122" s="4">
        <f t="shared" si="66"/>
        <v>-317.41267306469865</v>
      </c>
      <c r="M122" s="4">
        <f t="shared" si="66"/>
        <v>-269.75863566222887</v>
      </c>
      <c r="N122" s="4">
        <f t="shared" si="66"/>
        <v>-257</v>
      </c>
    </row>
    <row r="123" spans="1:14" x14ac:dyDescent="0.2">
      <c r="A123" s="3" t="s">
        <v>13</v>
      </c>
      <c r="B123" s="4">
        <f t="shared" ref="B123:N123" si="67">B45*B97</f>
        <v>0</v>
      </c>
      <c r="C123" s="4">
        <f t="shared" si="67"/>
        <v>0</v>
      </c>
      <c r="D123" s="4">
        <f t="shared" si="67"/>
        <v>0</v>
      </c>
      <c r="E123" s="4">
        <f t="shared" si="67"/>
        <v>0</v>
      </c>
      <c r="F123" s="4">
        <f t="shared" si="67"/>
        <v>0</v>
      </c>
      <c r="G123" s="4">
        <f t="shared" si="67"/>
        <v>0</v>
      </c>
      <c r="H123" s="4">
        <f t="shared" si="67"/>
        <v>0</v>
      </c>
      <c r="I123" s="4">
        <f t="shared" si="67"/>
        <v>0</v>
      </c>
      <c r="J123" s="4">
        <f t="shared" si="67"/>
        <v>0</v>
      </c>
      <c r="K123" s="4">
        <f t="shared" si="67"/>
        <v>0</v>
      </c>
      <c r="L123" s="4">
        <f t="shared" si="67"/>
        <v>0</v>
      </c>
      <c r="M123" s="4">
        <f t="shared" si="67"/>
        <v>0</v>
      </c>
      <c r="N123" s="4">
        <f t="shared" si="67"/>
        <v>0</v>
      </c>
    </row>
    <row r="124" spans="1:14" x14ac:dyDescent="0.2">
      <c r="A124" s="3" t="s">
        <v>14</v>
      </c>
      <c r="B124" s="4">
        <f t="shared" ref="B124:N124" si="68">B46*B98</f>
        <v>0</v>
      </c>
      <c r="C124" s="4">
        <f t="shared" si="68"/>
        <v>23.215319158318813</v>
      </c>
      <c r="D124" s="4">
        <f t="shared" si="68"/>
        <v>24.083684067273257</v>
      </c>
      <c r="E124" s="4">
        <f t="shared" si="68"/>
        <v>24.917047693031236</v>
      </c>
      <c r="F124" s="4">
        <f t="shared" si="68"/>
        <v>25.600132210905645</v>
      </c>
      <c r="G124" s="4">
        <f t="shared" si="68"/>
        <v>26.399616589523696</v>
      </c>
      <c r="H124" s="4">
        <f t="shared" si="68"/>
        <v>27.993549959842632</v>
      </c>
      <c r="I124" s="4">
        <f t="shared" si="68"/>
        <v>29.619728781499376</v>
      </c>
      <c r="J124" s="4">
        <f t="shared" si="68"/>
        <v>21.383113458505747</v>
      </c>
      <c r="K124" s="4">
        <f t="shared" si="68"/>
        <v>22.301754496384916</v>
      </c>
      <c r="L124" s="4">
        <f t="shared" si="68"/>
        <v>43.379731985508819</v>
      </c>
      <c r="M124" s="4">
        <f t="shared" si="68"/>
        <v>36.92513644045718</v>
      </c>
      <c r="N124" s="4">
        <f t="shared" si="68"/>
        <v>34</v>
      </c>
    </row>
    <row r="125" spans="1:14" x14ac:dyDescent="0.2">
      <c r="A125" s="3" t="s">
        <v>15</v>
      </c>
      <c r="B125" s="4">
        <f t="shared" ref="B125:N125" si="69">B47*B99</f>
        <v>0</v>
      </c>
      <c r="C125" s="4">
        <f t="shared" si="69"/>
        <v>11.583476955036158</v>
      </c>
      <c r="D125" s="4">
        <f t="shared" si="69"/>
        <v>11.309886929631265</v>
      </c>
      <c r="E125" s="4">
        <f t="shared" si="69"/>
        <v>11.051172078668483</v>
      </c>
      <c r="F125" s="4">
        <f t="shared" si="69"/>
        <v>10.756546779845443</v>
      </c>
      <c r="G125" s="4">
        <f t="shared" si="69"/>
        <v>10.537846955318205</v>
      </c>
      <c r="H125" s="4">
        <f t="shared" si="69"/>
        <v>10.158265477851987</v>
      </c>
      <c r="I125" s="4">
        <f t="shared" si="69"/>
        <v>9.8526736710681959</v>
      </c>
      <c r="J125" s="4">
        <f t="shared" si="69"/>
        <v>9.4838068024298643</v>
      </c>
      <c r="K125" s="4">
        <f t="shared" si="69"/>
        <v>8.9021170031403063</v>
      </c>
      <c r="L125" s="4">
        <f t="shared" si="69"/>
        <v>8.4467039109994815</v>
      </c>
      <c r="M125" s="4">
        <f t="shared" si="69"/>
        <v>8.1884909050828671</v>
      </c>
      <c r="N125" s="4">
        <f t="shared" si="69"/>
        <v>7.9833333333333343</v>
      </c>
    </row>
    <row r="126" spans="1:14" x14ac:dyDescent="0.2">
      <c r="A126" s="3" t="s">
        <v>16</v>
      </c>
      <c r="B126" s="4">
        <f t="shared" ref="B126:N126" si="70">B48*B100</f>
        <v>0</v>
      </c>
      <c r="C126" s="4">
        <f t="shared" si="70"/>
        <v>0</v>
      </c>
      <c r="D126" s="4">
        <f t="shared" si="70"/>
        <v>0</v>
      </c>
      <c r="E126" s="4">
        <f t="shared" si="70"/>
        <v>0</v>
      </c>
      <c r="F126" s="4">
        <f t="shared" si="70"/>
        <v>-72.758270494152882</v>
      </c>
      <c r="G126" s="4">
        <f t="shared" si="70"/>
        <v>-118.79827465285663</v>
      </c>
      <c r="H126" s="4">
        <f t="shared" si="70"/>
        <v>-114.51906801753805</v>
      </c>
      <c r="I126" s="4">
        <f t="shared" si="70"/>
        <v>-88.859186344498127</v>
      </c>
      <c r="J126" s="4">
        <f t="shared" si="70"/>
        <v>-32.07467018775862</v>
      </c>
      <c r="K126" s="4">
        <f t="shared" si="70"/>
        <v>90.322105710358912</v>
      </c>
      <c r="L126" s="4">
        <f t="shared" si="70"/>
        <v>9.522380191940961</v>
      </c>
      <c r="M126" s="4">
        <f t="shared" si="70"/>
        <v>-43.079325847200046</v>
      </c>
      <c r="N126" s="4">
        <f t="shared" si="70"/>
        <v>-28</v>
      </c>
    </row>
    <row r="127" spans="1:14" x14ac:dyDescent="0.2">
      <c r="A127" s="3" t="s">
        <v>87</v>
      </c>
      <c r="B127" s="4">
        <f t="shared" ref="B127:N127" si="71">B49*B101</f>
        <v>0</v>
      </c>
      <c r="C127" s="4">
        <f t="shared" si="71"/>
        <v>0</v>
      </c>
      <c r="D127" s="4">
        <f t="shared" si="71"/>
        <v>0</v>
      </c>
      <c r="E127" s="4">
        <f t="shared" si="71"/>
        <v>0</v>
      </c>
      <c r="F127" s="4">
        <f t="shared" si="71"/>
        <v>0</v>
      </c>
      <c r="G127" s="4">
        <f t="shared" si="71"/>
        <v>0</v>
      </c>
      <c r="H127" s="4">
        <f t="shared" si="71"/>
        <v>0</v>
      </c>
      <c r="I127" s="4">
        <f t="shared" si="71"/>
        <v>0</v>
      </c>
      <c r="J127" s="4">
        <f t="shared" si="71"/>
        <v>0</v>
      </c>
      <c r="K127" s="4">
        <f t="shared" si="71"/>
        <v>0</v>
      </c>
      <c r="L127" s="4">
        <f t="shared" si="71"/>
        <v>0</v>
      </c>
      <c r="M127" s="4">
        <f t="shared" si="71"/>
        <v>0</v>
      </c>
      <c r="N127" s="4">
        <f t="shared" si="71"/>
        <v>0</v>
      </c>
    </row>
    <row r="128" spans="1:14" x14ac:dyDescent="0.2">
      <c r="A128" s="3" t="s">
        <v>17</v>
      </c>
      <c r="B128" s="4">
        <f t="shared" ref="B128:N128" si="72">B50*B102</f>
        <v>0</v>
      </c>
      <c r="C128" s="4">
        <f t="shared" si="72"/>
        <v>0</v>
      </c>
      <c r="D128" s="4">
        <f t="shared" si="72"/>
        <v>0</v>
      </c>
      <c r="E128" s="4">
        <f t="shared" si="72"/>
        <v>0</v>
      </c>
      <c r="F128" s="4">
        <f t="shared" si="72"/>
        <v>21.614146713154987</v>
      </c>
      <c r="G128" s="4">
        <f t="shared" si="72"/>
        <v>20.933235088251617</v>
      </c>
      <c r="H128" s="4">
        <f t="shared" si="72"/>
        <v>19.93577554821027</v>
      </c>
      <c r="I128" s="4">
        <f t="shared" si="72"/>
        <v>19.089119747086222</v>
      </c>
      <c r="J128" s="4">
        <f t="shared" si="72"/>
        <v>18.125880752036945</v>
      </c>
      <c r="K128" s="4">
        <f t="shared" si="72"/>
        <v>16.770105287348201</v>
      </c>
      <c r="L128" s="4">
        <f t="shared" si="72"/>
        <v>15.670030776704202</v>
      </c>
      <c r="M128" s="4">
        <f t="shared" si="72"/>
        <v>14.945494040674497</v>
      </c>
      <c r="N128" s="4">
        <f t="shared" si="72"/>
        <v>14.320715477827051</v>
      </c>
    </row>
    <row r="129" spans="1:14" x14ac:dyDescent="0.2">
      <c r="A129" s="3" t="s">
        <v>18</v>
      </c>
      <c r="B129" s="4">
        <f t="shared" ref="B129:N129" si="73">B51*B103</f>
        <v>0</v>
      </c>
      <c r="C129" s="4">
        <f t="shared" si="73"/>
        <v>0</v>
      </c>
      <c r="D129" s="4">
        <f t="shared" si="73"/>
        <v>0</v>
      </c>
      <c r="E129" s="4">
        <f t="shared" si="73"/>
        <v>0</v>
      </c>
      <c r="F129" s="4">
        <f t="shared" si="73"/>
        <v>0</v>
      </c>
      <c r="G129" s="4">
        <f t="shared" si="73"/>
        <v>0</v>
      </c>
      <c r="H129" s="4">
        <f t="shared" si="73"/>
        <v>0</v>
      </c>
      <c r="I129" s="4">
        <f t="shared" si="73"/>
        <v>0</v>
      </c>
      <c r="J129" s="4">
        <f t="shared" si="73"/>
        <v>0</v>
      </c>
      <c r="K129" s="4">
        <f t="shared" si="73"/>
        <v>0</v>
      </c>
      <c r="L129" s="4">
        <f t="shared" si="73"/>
        <v>0</v>
      </c>
      <c r="M129" s="4">
        <f t="shared" si="73"/>
        <v>0</v>
      </c>
      <c r="N129" s="4">
        <f t="shared" si="73"/>
        <v>115</v>
      </c>
    </row>
    <row r="130" spans="1:14" x14ac:dyDescent="0.2">
      <c r="A130" s="3" t="s">
        <v>81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2" spans="1:14" x14ac:dyDescent="0.2">
      <c r="A132" s="52" t="s">
        <v>74</v>
      </c>
      <c r="B132" s="52" t="s">
        <v>75</v>
      </c>
      <c r="C132" s="52" t="s">
        <v>76</v>
      </c>
      <c r="D132" s="52" t="s">
        <v>77</v>
      </c>
      <c r="E132" s="52" t="s">
        <v>80</v>
      </c>
      <c r="F132" s="52" t="s">
        <v>95</v>
      </c>
      <c r="G132" s="52" t="s">
        <v>88</v>
      </c>
      <c r="H132" s="52" t="s">
        <v>88</v>
      </c>
    </row>
    <row r="133" spans="1:14" ht="13.5" thickBot="1" x14ac:dyDescent="0.25">
      <c r="A133" s="3" t="s">
        <v>0</v>
      </c>
      <c r="B133" s="4">
        <f>SUM(B107:N107)</f>
        <v>1333.3837164283723</v>
      </c>
      <c r="C133" s="4">
        <f>IF(O2="Cierre",N2,"")</f>
        <v>767.00519797920674</v>
      </c>
      <c r="D133" s="4">
        <f>C133-B133</f>
        <v>-566.37851844916554</v>
      </c>
      <c r="E133" s="3" t="s">
        <v>81</v>
      </c>
      <c r="F133" s="4">
        <f>D133</f>
        <v>-566.37851844916554</v>
      </c>
      <c r="G133" s="4">
        <f>C133</f>
        <v>767.00519797920674</v>
      </c>
      <c r="H133" s="4">
        <f>G133</f>
        <v>767.00519797920674</v>
      </c>
    </row>
    <row r="134" spans="1:14" x14ac:dyDescent="0.2">
      <c r="A134" s="3" t="s">
        <v>1</v>
      </c>
      <c r="B134" s="4">
        <f>SUM(B108:N108)</f>
        <v>1322.1719755397623</v>
      </c>
      <c r="C134" s="4">
        <f>IF(O3="Cierre",N3,"")</f>
        <v>1064</v>
      </c>
      <c r="D134" s="4">
        <f t="shared" ref="D134:D156" si="74">C134-B134</f>
        <v>-258.17197553976234</v>
      </c>
      <c r="E134" s="3" t="s">
        <v>82</v>
      </c>
      <c r="F134" s="4">
        <f>D134</f>
        <v>-258.17197553976234</v>
      </c>
      <c r="G134" s="4">
        <f>C134</f>
        <v>1064</v>
      </c>
      <c r="H134" s="4">
        <f>G134</f>
        <v>1064</v>
      </c>
      <c r="J134" s="64" t="s">
        <v>91</v>
      </c>
      <c r="K134" s="65">
        <f>B110</f>
        <v>243.61522361365309</v>
      </c>
    </row>
    <row r="135" spans="1:14" x14ac:dyDescent="0.2">
      <c r="A135" s="3" t="s">
        <v>2</v>
      </c>
      <c r="B135" s="4">
        <f>SUM(B109:N109)</f>
        <v>343.43001665401579</v>
      </c>
      <c r="C135" s="4">
        <f>IF(O4="Cierre",N4,"")</f>
        <v>257</v>
      </c>
      <c r="D135" s="4">
        <f t="shared" si="74"/>
        <v>-86.430016654015787</v>
      </c>
      <c r="E135" s="3" t="s">
        <v>81</v>
      </c>
      <c r="F135" s="4">
        <f>D135</f>
        <v>-86.430016654015787</v>
      </c>
      <c r="G135" s="4">
        <f>C135</f>
        <v>257</v>
      </c>
      <c r="H135" s="4">
        <f>G135</f>
        <v>257</v>
      </c>
      <c r="J135" s="34" t="s">
        <v>92</v>
      </c>
      <c r="K135" s="66">
        <f>B137</f>
        <v>1889.9094062992276</v>
      </c>
    </row>
    <row r="136" spans="1:14" x14ac:dyDescent="0.2">
      <c r="A136" s="3" t="s">
        <v>3</v>
      </c>
      <c r="B136" s="4">
        <f>SUM(B110:N110)</f>
        <v>243.61522361365309</v>
      </c>
      <c r="C136" s="4">
        <f>B136</f>
        <v>243.61522361365309</v>
      </c>
      <c r="D136" s="4">
        <f t="shared" si="74"/>
        <v>0</v>
      </c>
      <c r="E136" s="3" t="s">
        <v>83</v>
      </c>
      <c r="F136" s="4">
        <f>D136</f>
        <v>0</v>
      </c>
      <c r="G136" s="4">
        <f>C136</f>
        <v>243.61522361365309</v>
      </c>
      <c r="H136" s="4">
        <f>-K137</f>
        <v>170</v>
      </c>
      <c r="J136" s="34" t="s">
        <v>96</v>
      </c>
      <c r="K136" s="66">
        <f>K138-K137-K135-K134</f>
        <v>171.00031212471146</v>
      </c>
    </row>
    <row r="137" spans="1:14" x14ac:dyDescent="0.2">
      <c r="A137" s="3" t="s">
        <v>19</v>
      </c>
      <c r="B137" s="4">
        <f>SUM(B111:N111)</f>
        <v>1889.9094062992276</v>
      </c>
      <c r="C137" s="4">
        <f>B137</f>
        <v>1889.9094062992276</v>
      </c>
      <c r="D137" s="4">
        <f t="shared" si="74"/>
        <v>0</v>
      </c>
      <c r="F137" s="4"/>
      <c r="G137" s="4">
        <f>C137</f>
        <v>1889.9094062992276</v>
      </c>
      <c r="H137" s="4">
        <f>G137-K135</f>
        <v>0</v>
      </c>
      <c r="J137" s="34" t="s">
        <v>93</v>
      </c>
      <c r="K137" s="66">
        <v>-170</v>
      </c>
    </row>
    <row r="138" spans="1:14" ht="13.5" thickBot="1" x14ac:dyDescent="0.25">
      <c r="A138" s="3" t="s">
        <v>4</v>
      </c>
      <c r="B138" s="4">
        <f>SUM(B112:N112)</f>
        <v>4126.2487309402677</v>
      </c>
      <c r="C138" s="4">
        <f>PPE_CIERRE!F8</f>
        <v>4126.2487309402677</v>
      </c>
      <c r="D138" s="4">
        <f t="shared" si="74"/>
        <v>0</v>
      </c>
      <c r="G138" s="4">
        <f>C138</f>
        <v>4126.2487309402677</v>
      </c>
      <c r="H138" s="4">
        <f>G138</f>
        <v>4126.2487309402677</v>
      </c>
      <c r="J138" s="67" t="s">
        <v>94</v>
      </c>
      <c r="K138" s="68">
        <f>COSTO_DE_VENTAS_2018!G14</f>
        <v>2134.5249420375922</v>
      </c>
    </row>
    <row r="139" spans="1:14" x14ac:dyDescent="0.2">
      <c r="A139" s="3" t="s">
        <v>5</v>
      </c>
      <c r="B139" s="4">
        <f>SUM(B113:N113)</f>
        <v>-1425.2273790181266</v>
      </c>
      <c r="C139" s="4">
        <f>PPE_CIERRE!F26</f>
        <v>-1568.7053769039451</v>
      </c>
      <c r="D139" s="4">
        <f t="shared" si="74"/>
        <v>-143.47799788581847</v>
      </c>
      <c r="E139" s="3" t="s">
        <v>84</v>
      </c>
      <c r="F139" s="4">
        <f>D139</f>
        <v>-143.47799788581847</v>
      </c>
      <c r="G139" s="4">
        <f>C139</f>
        <v>-1568.7053769039451</v>
      </c>
      <c r="H139" s="4">
        <f>G139</f>
        <v>-1568.7053769039451</v>
      </c>
    </row>
    <row r="140" spans="1:14" x14ac:dyDescent="0.2">
      <c r="A140" s="3" t="s">
        <v>6</v>
      </c>
      <c r="B140" s="4">
        <f>SUM(B114:N114)</f>
        <v>-537.33470212936516</v>
      </c>
      <c r="C140" s="4">
        <f>IF(O9="Cierre",N9,"")</f>
        <v>-414</v>
      </c>
      <c r="D140" s="4">
        <f t="shared" si="74"/>
        <v>123.33470212936516</v>
      </c>
      <c r="E140" s="3" t="s">
        <v>81</v>
      </c>
      <c r="F140" s="4">
        <f>D140</f>
        <v>123.33470212936516</v>
      </c>
      <c r="G140" s="4">
        <f>C140</f>
        <v>-414</v>
      </c>
      <c r="H140" s="4">
        <f>G140</f>
        <v>-414</v>
      </c>
    </row>
    <row r="141" spans="1:14" x14ac:dyDescent="0.2">
      <c r="A141" s="3" t="s">
        <v>7</v>
      </c>
      <c r="B141" s="4">
        <f>SUM(B115:N115)</f>
        <v>-421.42546920077706</v>
      </c>
      <c r="C141" s="4">
        <f>IF(O10="Cierre",N10,"")</f>
        <v>-306.73993375942013</v>
      </c>
      <c r="D141" s="4">
        <f t="shared" si="74"/>
        <v>114.68553544135693</v>
      </c>
      <c r="E141" s="3" t="s">
        <v>85</v>
      </c>
      <c r="F141" s="4">
        <f>D141</f>
        <v>114.68553544135693</v>
      </c>
      <c r="G141" s="4">
        <f>C141</f>
        <v>-306.73993375942013</v>
      </c>
      <c r="H141" s="4">
        <f>G141</f>
        <v>-306.73993375942013</v>
      </c>
    </row>
    <row r="142" spans="1:14" x14ac:dyDescent="0.2">
      <c r="A142" s="3" t="s">
        <v>8</v>
      </c>
      <c r="B142" s="4">
        <f>SUM(B116:N116)</f>
        <v>-126.579155269734</v>
      </c>
      <c r="C142" s="4">
        <f>IF(O11="Cierre",N11,"")</f>
        <v>-115</v>
      </c>
      <c r="D142" s="4">
        <f t="shared" si="74"/>
        <v>11.579155269734002</v>
      </c>
      <c r="E142" s="3" t="s">
        <v>81</v>
      </c>
      <c r="F142" s="4">
        <f>D142</f>
        <v>11.579155269734002</v>
      </c>
      <c r="G142" s="4">
        <f>C142</f>
        <v>-115</v>
      </c>
      <c r="H142" s="4">
        <f>G142</f>
        <v>-115</v>
      </c>
    </row>
    <row r="143" spans="1:14" x14ac:dyDescent="0.2">
      <c r="A143" s="54" t="s">
        <v>67</v>
      </c>
      <c r="B143" s="4">
        <f>SUM(B117:N117)</f>
        <v>-245.97299360645601</v>
      </c>
      <c r="C143" s="4">
        <f>-PPE_CIERRE!F34</f>
        <v>-344.91083850908069</v>
      </c>
      <c r="D143" s="4">
        <f t="shared" si="74"/>
        <v>-98.937844902624676</v>
      </c>
      <c r="E143" s="3" t="s">
        <v>86</v>
      </c>
      <c r="F143" s="4">
        <f>D143</f>
        <v>-98.937844902624676</v>
      </c>
      <c r="G143" s="4">
        <f>C143</f>
        <v>-344.91083850908069</v>
      </c>
      <c r="H143" s="4">
        <f>G143</f>
        <v>-344.91083850908069</v>
      </c>
    </row>
    <row r="144" spans="1:14" x14ac:dyDescent="0.2">
      <c r="A144" s="3" t="s">
        <v>9</v>
      </c>
      <c r="B144" s="4">
        <f>SUM(B118:N118)</f>
        <v>-21881.353033042244</v>
      </c>
      <c r="C144" s="4">
        <f>B144</f>
        <v>-21881.353033042244</v>
      </c>
      <c r="D144" s="4">
        <f t="shared" si="74"/>
        <v>0</v>
      </c>
      <c r="G144" s="4">
        <v>-1000</v>
      </c>
      <c r="H144" s="4">
        <f>G144</f>
        <v>-1000</v>
      </c>
    </row>
    <row r="145" spans="1:8" x14ac:dyDescent="0.2">
      <c r="A145" s="3" t="s">
        <v>39</v>
      </c>
      <c r="B145" s="4">
        <f>SUM(B119:N119)</f>
        <v>0</v>
      </c>
      <c r="C145" s="4"/>
      <c r="D145" s="4">
        <f t="shared" si="74"/>
        <v>0</v>
      </c>
      <c r="G145" s="4">
        <f>C144-G144</f>
        <v>-20881.353033042244</v>
      </c>
      <c r="H145" s="4">
        <f>G145</f>
        <v>-20881.353033042244</v>
      </c>
    </row>
    <row r="146" spans="1:8" x14ac:dyDescent="0.2">
      <c r="A146" s="3" t="s">
        <v>10</v>
      </c>
      <c r="B146" s="4">
        <f>SUM(B120:N120)</f>
        <v>-275.8673774703953</v>
      </c>
      <c r="C146" s="4">
        <f>-PATRIMONIO_2018!F4</f>
        <v>-276.83548137915125</v>
      </c>
      <c r="D146" s="4">
        <f t="shared" si="74"/>
        <v>-0.96810390875594976</v>
      </c>
      <c r="F146" s="4">
        <f>D146</f>
        <v>-0.96810390875594976</v>
      </c>
      <c r="G146" s="4">
        <f>C146+F146</f>
        <v>-277.8035852879072</v>
      </c>
      <c r="H146" s="4">
        <f>G146</f>
        <v>-277.8035852879072</v>
      </c>
    </row>
    <row r="147" spans="1:8" x14ac:dyDescent="0.2">
      <c r="A147" s="3" t="s">
        <v>11</v>
      </c>
      <c r="B147" s="4">
        <f>SUM(B121:N121)</f>
        <v>18093.650135477423</v>
      </c>
      <c r="C147" s="4">
        <f>B147</f>
        <v>18093.650135477423</v>
      </c>
      <c r="D147" s="4">
        <f t="shared" si="74"/>
        <v>0</v>
      </c>
      <c r="F147" s="4">
        <f>-F146</f>
        <v>0.96810390875594976</v>
      </c>
      <c r="G147" s="4">
        <f t="shared" ref="G147:G156" si="75">C147+F147</f>
        <v>18094.618239386178</v>
      </c>
      <c r="H147" s="4">
        <f>G147</f>
        <v>18094.618239386178</v>
      </c>
    </row>
    <row r="148" spans="1:8" x14ac:dyDescent="0.2">
      <c r="A148" s="3" t="s">
        <v>12</v>
      </c>
      <c r="B148" s="4">
        <f>SUM(B122:N122)</f>
        <v>-2774.8824246488689</v>
      </c>
      <c r="C148" s="4">
        <f>B148</f>
        <v>-2774.8824246488689</v>
      </c>
      <c r="D148" s="4">
        <f t="shared" si="74"/>
        <v>0</v>
      </c>
      <c r="G148" s="4">
        <f t="shared" si="75"/>
        <v>-2774.8824246488689</v>
      </c>
      <c r="H148" s="4">
        <f>G148</f>
        <v>-2774.8824246488689</v>
      </c>
    </row>
    <row r="149" spans="1:8" x14ac:dyDescent="0.2">
      <c r="A149" s="3" t="s">
        <v>13</v>
      </c>
      <c r="B149" s="4">
        <f>SUM(B123:N123)</f>
        <v>0</v>
      </c>
      <c r="C149" s="4">
        <f>B149</f>
        <v>0</v>
      </c>
      <c r="D149" s="4">
        <f t="shared" si="74"/>
        <v>0</v>
      </c>
      <c r="G149" s="4">
        <f t="shared" si="75"/>
        <v>0</v>
      </c>
      <c r="H149" s="4">
        <f>K138</f>
        <v>2134.5249420375922</v>
      </c>
    </row>
    <row r="150" spans="1:8" x14ac:dyDescent="0.2">
      <c r="A150" s="3" t="s">
        <v>14</v>
      </c>
      <c r="B150" s="4">
        <f>SUM(B124:N124)</f>
        <v>339.81881484125131</v>
      </c>
      <c r="C150" s="4">
        <f>B150</f>
        <v>339.81881484125131</v>
      </c>
      <c r="D150" s="4">
        <f t="shared" si="74"/>
        <v>0</v>
      </c>
      <c r="G150" s="4">
        <f t="shared" si="75"/>
        <v>339.81881484125131</v>
      </c>
      <c r="H150" s="4">
        <f>G150</f>
        <v>339.81881484125131</v>
      </c>
    </row>
    <row r="151" spans="1:8" x14ac:dyDescent="0.2">
      <c r="A151" s="3" t="s">
        <v>15</v>
      </c>
      <c r="B151" s="4">
        <f>SUM(B125:N125)</f>
        <v>118.2543208024056</v>
      </c>
      <c r="C151" s="4">
        <f>B151</f>
        <v>118.2543208024056</v>
      </c>
      <c r="D151" s="4">
        <f t="shared" si="74"/>
        <v>0</v>
      </c>
      <c r="F151" s="4">
        <f>-F139</f>
        <v>143.47799788581847</v>
      </c>
      <c r="G151" s="4">
        <f t="shared" si="75"/>
        <v>261.73231868822404</v>
      </c>
      <c r="H151" s="4">
        <f>G151</f>
        <v>261.73231868822404</v>
      </c>
    </row>
    <row r="152" spans="1:8" x14ac:dyDescent="0.2">
      <c r="A152" s="3" t="s">
        <v>16</v>
      </c>
      <c r="B152" s="4">
        <f>SUM(B126:N126)</f>
        <v>-398.24430964170449</v>
      </c>
      <c r="C152" s="4">
        <f>B152</f>
        <v>-398.24430964170449</v>
      </c>
      <c r="D152" s="4">
        <f t="shared" si="74"/>
        <v>0</v>
      </c>
      <c r="F152" s="4">
        <f>-F134</f>
        <v>258.17197553976234</v>
      </c>
      <c r="G152" s="4">
        <f t="shared" si="75"/>
        <v>-140.07233410194215</v>
      </c>
      <c r="H152" s="4">
        <f>G152</f>
        <v>-140.07233410194215</v>
      </c>
    </row>
    <row r="153" spans="1:8" x14ac:dyDescent="0.2">
      <c r="A153" s="3" t="s">
        <v>87</v>
      </c>
      <c r="B153" s="4">
        <v>0</v>
      </c>
      <c r="C153" s="4">
        <v>0</v>
      </c>
      <c r="D153" s="4">
        <f t="shared" si="74"/>
        <v>0</v>
      </c>
      <c r="F153" s="4">
        <f>-F136</f>
        <v>0</v>
      </c>
      <c r="G153" s="4">
        <f t="shared" si="75"/>
        <v>0</v>
      </c>
      <c r="H153" s="4">
        <f>-K136</f>
        <v>-171.00031212471146</v>
      </c>
    </row>
    <row r="154" spans="1:8" x14ac:dyDescent="0.2">
      <c r="A154" s="3" t="s">
        <v>17</v>
      </c>
      <c r="B154" s="4">
        <f>SUM(B128:N128)</f>
        <v>161.40450343129402</v>
      </c>
      <c r="C154" s="4">
        <f>B154</f>
        <v>161.40450343129402</v>
      </c>
      <c r="D154" s="4">
        <f t="shared" si="74"/>
        <v>0</v>
      </c>
      <c r="F154" s="4">
        <f>-F141</f>
        <v>-114.68553544135693</v>
      </c>
      <c r="G154" s="4">
        <f t="shared" si="75"/>
        <v>46.718967989937084</v>
      </c>
      <c r="H154" s="4">
        <f>G154</f>
        <v>46.718967989937084</v>
      </c>
    </row>
    <row r="155" spans="1:8" x14ac:dyDescent="0.2">
      <c r="A155" s="3" t="s">
        <v>18</v>
      </c>
      <c r="B155" s="4">
        <f>SUM(B129:N129)</f>
        <v>115</v>
      </c>
      <c r="C155" s="4">
        <f>B155</f>
        <v>115</v>
      </c>
      <c r="D155" s="4">
        <f t="shared" si="74"/>
        <v>0</v>
      </c>
      <c r="F155" s="4">
        <f>-F143</f>
        <v>98.937844902624676</v>
      </c>
      <c r="G155" s="4">
        <f t="shared" si="75"/>
        <v>213.93784490262468</v>
      </c>
      <c r="H155" s="4">
        <f>G155</f>
        <v>213.93784490262468</v>
      </c>
    </row>
    <row r="156" spans="1:8" x14ac:dyDescent="0.2">
      <c r="A156" s="3" t="s">
        <v>81</v>
      </c>
      <c r="B156" s="4">
        <v>0</v>
      </c>
      <c r="C156" s="4">
        <v>0</v>
      </c>
      <c r="D156" s="4">
        <f t="shared" si="74"/>
        <v>0</v>
      </c>
      <c r="F156" s="4">
        <f>-(F133+F135+F140+F142)</f>
        <v>517.89467770408226</v>
      </c>
      <c r="G156" s="4">
        <f t="shared" si="75"/>
        <v>517.89467770408226</v>
      </c>
      <c r="H156" s="4">
        <f>G156</f>
        <v>517.89467770408226</v>
      </c>
    </row>
    <row r="157" spans="1:8" x14ac:dyDescent="0.2">
      <c r="A157" s="47" t="s">
        <v>97</v>
      </c>
      <c r="B157" s="69">
        <f>ROUND(SUM(B133:B156),0)</f>
        <v>0</v>
      </c>
      <c r="C157" s="69">
        <f t="shared" ref="C157:H157" si="76">ROUND(SUM(C133:C156),0)</f>
        <v>-905</v>
      </c>
      <c r="D157" s="69">
        <f t="shared" si="76"/>
        <v>-905</v>
      </c>
      <c r="E157" s="47"/>
      <c r="F157" s="69">
        <f t="shared" si="76"/>
        <v>0</v>
      </c>
      <c r="G157" s="69">
        <f t="shared" si="76"/>
        <v>-1</v>
      </c>
      <c r="H157" s="69">
        <f t="shared" si="76"/>
        <v>-1</v>
      </c>
    </row>
    <row r="161" spans="1:7" x14ac:dyDescent="0.2">
      <c r="B161" s="10"/>
      <c r="C161" s="10" t="s">
        <v>98</v>
      </c>
      <c r="D161" s="10" t="s">
        <v>99</v>
      </c>
      <c r="E161" s="10" t="s">
        <v>101</v>
      </c>
      <c r="F161" s="10" t="s">
        <v>35</v>
      </c>
    </row>
    <row r="162" spans="1:7" x14ac:dyDescent="0.2">
      <c r="B162" s="70" t="s">
        <v>9</v>
      </c>
      <c r="C162" s="70" t="s">
        <v>9</v>
      </c>
      <c r="D162" s="70" t="s">
        <v>100</v>
      </c>
      <c r="E162" s="70" t="s">
        <v>102</v>
      </c>
      <c r="F162" s="70" t="s">
        <v>103</v>
      </c>
    </row>
    <row r="163" spans="1:7" x14ac:dyDescent="0.2">
      <c r="A163" s="3" t="s">
        <v>109</v>
      </c>
      <c r="B163" s="4">
        <f>-H144</f>
        <v>1000</v>
      </c>
      <c r="C163" s="4">
        <f>-(B144+1000)</f>
        <v>20881.353033042244</v>
      </c>
      <c r="D163" s="4">
        <f>-B120</f>
        <v>265.76206212398517</v>
      </c>
      <c r="E163" s="4">
        <f>-B121</f>
        <v>-17275.119592418203</v>
      </c>
      <c r="F163" s="4">
        <f>SUM(B163:E163)</f>
        <v>4871.9955027480246</v>
      </c>
      <c r="G163" s="4"/>
    </row>
    <row r="164" spans="1:7" x14ac:dyDescent="0.2">
      <c r="B164" s="4"/>
      <c r="C164" s="4"/>
      <c r="D164" s="4"/>
      <c r="E164" s="4"/>
      <c r="F164" s="4"/>
    </row>
    <row r="165" spans="1:7" x14ac:dyDescent="0.2">
      <c r="A165" s="3" t="s">
        <v>104</v>
      </c>
      <c r="B165" s="4"/>
      <c r="C165" s="4"/>
      <c r="D165" s="4"/>
      <c r="E165" s="4"/>
      <c r="F165" s="4"/>
    </row>
    <row r="166" spans="1:7" x14ac:dyDescent="0.2">
      <c r="A166" s="3" t="s">
        <v>105</v>
      </c>
      <c r="B166" s="4"/>
      <c r="C166" s="4"/>
      <c r="D166" s="4">
        <f>PATRIMONIO_2018!F3</f>
        <v>11.07341925516605</v>
      </c>
      <c r="E166" s="4">
        <f>-D166</f>
        <v>-11.07341925516605</v>
      </c>
      <c r="F166" s="4"/>
    </row>
    <row r="167" spans="1:7" x14ac:dyDescent="0.2">
      <c r="A167" s="3" t="s">
        <v>106</v>
      </c>
      <c r="B167" s="4"/>
      <c r="C167" s="4"/>
      <c r="D167" s="4"/>
      <c r="E167" s="4">
        <f>-600*F81</f>
        <v>-808.42522771280983</v>
      </c>
      <c r="F167" s="4">
        <f>E167</f>
        <v>-808.42522771280983</v>
      </c>
    </row>
    <row r="168" spans="1:7" x14ac:dyDescent="0.2">
      <c r="B168" s="4"/>
      <c r="C168" s="4"/>
      <c r="D168" s="4"/>
      <c r="E168" s="4"/>
      <c r="F168" s="4"/>
    </row>
    <row r="169" spans="1:7" x14ac:dyDescent="0.2">
      <c r="A169" s="3" t="s">
        <v>107</v>
      </c>
      <c r="B169" s="4"/>
      <c r="C169" s="4"/>
      <c r="D169" s="4"/>
      <c r="E169" s="4">
        <f>-SUM(H148:H156)</f>
        <v>-428.672495288189</v>
      </c>
      <c r="F169" s="4">
        <f>E169</f>
        <v>-428.672495288189</v>
      </c>
    </row>
    <row r="170" spans="1:7" x14ac:dyDescent="0.2">
      <c r="A170" s="17"/>
      <c r="B170" s="18"/>
      <c r="C170" s="18"/>
      <c r="D170" s="18"/>
      <c r="E170" s="18"/>
      <c r="F170" s="18"/>
    </row>
    <row r="171" spans="1:7" x14ac:dyDescent="0.2">
      <c r="A171" s="50" t="s">
        <v>108</v>
      </c>
      <c r="B171" s="49">
        <f>SUM(B163:B170)</f>
        <v>1000</v>
      </c>
      <c r="C171" s="49">
        <f t="shared" ref="C171:F171" si="77">SUM(C163:C170)</f>
        <v>20881.353033042244</v>
      </c>
      <c r="D171" s="49">
        <f>-H146</f>
        <v>277.8035852879072</v>
      </c>
      <c r="E171" s="49">
        <f t="shared" si="77"/>
        <v>-18523.290734674367</v>
      </c>
      <c r="F171" s="49">
        <f t="shared" si="77"/>
        <v>3634.8977797470257</v>
      </c>
    </row>
    <row r="172" spans="1:7" x14ac:dyDescent="0.2">
      <c r="B172" s="4"/>
      <c r="C172" s="4"/>
      <c r="D172" s="4"/>
      <c r="E172" s="4"/>
      <c r="F172" s="4"/>
    </row>
    <row r="173" spans="1:7" x14ac:dyDescent="0.2">
      <c r="B173" s="4"/>
      <c r="C173" s="4"/>
      <c r="D173" s="4"/>
      <c r="E173" s="4"/>
      <c r="F173" s="4">
        <f>-SUM(H144:H156)</f>
        <v>3635.8658836557847</v>
      </c>
    </row>
    <row r="174" spans="1:7" x14ac:dyDescent="0.2">
      <c r="B174" s="4"/>
      <c r="C174" s="4"/>
      <c r="D174" s="4"/>
      <c r="E174" s="4"/>
      <c r="F174" s="4"/>
    </row>
    <row r="175" spans="1:7" x14ac:dyDescent="0.2">
      <c r="B175" s="4"/>
      <c r="C175" s="4"/>
      <c r="D175" s="4"/>
      <c r="E175" s="4"/>
      <c r="F175" s="4"/>
    </row>
    <row r="176" spans="1:7" x14ac:dyDescent="0.2">
      <c r="B176" s="4"/>
      <c r="C176" s="4"/>
      <c r="D176" s="4"/>
      <c r="E176" s="4"/>
      <c r="F176" s="4"/>
    </row>
    <row r="177" spans="2:6" x14ac:dyDescent="0.2">
      <c r="B177" s="4"/>
      <c r="C177" s="4"/>
      <c r="D177" s="4"/>
      <c r="E177" s="4"/>
      <c r="F177" s="4"/>
    </row>
  </sheetData>
  <pageMargins left="0.7" right="0.7" top="0.75" bottom="0.75" header="0.3" footer="0.3"/>
  <pageSetup orientation="portrait" r:id="rId1"/>
  <ignoredErrors>
    <ignoredError sqref="F16 C137 H153:H157 H149:H152 D171" formula="1"/>
    <ignoredError sqref="B26:N2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topLeftCell="A37" workbookViewId="0">
      <selection activeCell="J24" sqref="J24"/>
    </sheetView>
  </sheetViews>
  <sheetFormatPr baseColWidth="10" defaultRowHeight="12.75" x14ac:dyDescent="0.2"/>
  <cols>
    <col min="1" max="1" width="81.85546875" style="3" bestFit="1" customWidth="1"/>
    <col min="2" max="16384" width="11.42578125" style="3"/>
  </cols>
  <sheetData>
    <row r="1" spans="1:6" x14ac:dyDescent="0.2">
      <c r="A1" s="6" t="s">
        <v>25</v>
      </c>
    </row>
    <row r="2" spans="1:6" x14ac:dyDescent="0.2">
      <c r="A2" s="3" t="s">
        <v>22</v>
      </c>
    </row>
    <row r="3" spans="1:6" x14ac:dyDescent="0.2">
      <c r="A3" s="3" t="s">
        <v>23</v>
      </c>
    </row>
    <row r="4" spans="1:6" x14ac:dyDescent="0.2">
      <c r="A4" s="3" t="s">
        <v>24</v>
      </c>
    </row>
    <row r="6" spans="1:6" x14ac:dyDescent="0.2">
      <c r="A6" s="6" t="s">
        <v>26</v>
      </c>
    </row>
    <row r="7" spans="1:6" x14ac:dyDescent="0.2">
      <c r="A7" s="3" t="s">
        <v>27</v>
      </c>
    </row>
    <row r="8" spans="1:6" x14ac:dyDescent="0.2">
      <c r="A8" s="3" t="s">
        <v>28</v>
      </c>
    </row>
    <row r="9" spans="1:6" x14ac:dyDescent="0.2">
      <c r="A9" s="3" t="s">
        <v>29</v>
      </c>
    </row>
    <row r="10" spans="1:6" x14ac:dyDescent="0.2">
      <c r="A10" s="3" t="s">
        <v>30</v>
      </c>
    </row>
    <row r="12" spans="1:6" x14ac:dyDescent="0.2">
      <c r="A12" s="6" t="s">
        <v>31</v>
      </c>
      <c r="B12" s="7"/>
      <c r="C12" s="7"/>
      <c r="E12" s="8"/>
    </row>
    <row r="13" spans="1:6" x14ac:dyDescent="0.2">
      <c r="A13" s="3" t="s">
        <v>32</v>
      </c>
      <c r="B13" s="7"/>
      <c r="C13" s="15" t="s">
        <v>36</v>
      </c>
      <c r="D13" s="16" t="s">
        <v>38</v>
      </c>
      <c r="E13" s="16" t="s">
        <v>37</v>
      </c>
      <c r="F13" s="17" t="s">
        <v>40</v>
      </c>
    </row>
    <row r="14" spans="1:6" x14ac:dyDescent="0.2">
      <c r="A14" s="3" t="s">
        <v>33</v>
      </c>
      <c r="B14" s="4">
        <v>130</v>
      </c>
      <c r="C14" s="4">
        <f>-B14*D14*14</f>
        <v>-91</v>
      </c>
      <c r="D14" s="11">
        <v>0.05</v>
      </c>
      <c r="E14" s="4">
        <f>B14*D14</f>
        <v>6.5</v>
      </c>
      <c r="F14" s="12"/>
    </row>
    <row r="15" spans="1:6" x14ac:dyDescent="0.2">
      <c r="A15" s="3" t="s">
        <v>34</v>
      </c>
      <c r="B15" s="4"/>
      <c r="C15" s="4"/>
      <c r="E15" s="4"/>
    </row>
    <row r="16" spans="1:6" x14ac:dyDescent="0.2">
      <c r="A16" s="9">
        <v>42125</v>
      </c>
      <c r="B16" s="4">
        <v>180</v>
      </c>
      <c r="C16" s="4">
        <v>-42</v>
      </c>
      <c r="D16" s="13">
        <v>0.1</v>
      </c>
      <c r="E16" s="4">
        <f t="shared" ref="E16:E19" si="0">B16*D16</f>
        <v>18</v>
      </c>
      <c r="F16" s="12"/>
    </row>
    <row r="17" spans="1:7" x14ac:dyDescent="0.2">
      <c r="A17" s="9">
        <v>42278</v>
      </c>
      <c r="B17" s="4">
        <v>240</v>
      </c>
      <c r="C17" s="4">
        <v>-27</v>
      </c>
      <c r="D17" s="13">
        <v>0.05</v>
      </c>
      <c r="E17" s="4">
        <f t="shared" si="0"/>
        <v>12</v>
      </c>
      <c r="F17" s="12"/>
    </row>
    <row r="18" spans="1:7" x14ac:dyDescent="0.2">
      <c r="A18" s="9">
        <v>42736</v>
      </c>
      <c r="B18" s="4">
        <v>258</v>
      </c>
      <c r="C18" s="4">
        <v>-25.8</v>
      </c>
      <c r="D18" s="13">
        <v>0.1</v>
      </c>
      <c r="E18" s="4">
        <f t="shared" si="0"/>
        <v>25.8</v>
      </c>
    </row>
    <row r="19" spans="1:7" x14ac:dyDescent="0.2">
      <c r="A19" s="9">
        <v>42736</v>
      </c>
      <c r="B19" s="18">
        <v>335</v>
      </c>
      <c r="C19" s="18">
        <v>-33.5</v>
      </c>
      <c r="D19" s="19">
        <v>0.1</v>
      </c>
      <c r="E19" s="18">
        <f t="shared" si="0"/>
        <v>33.5</v>
      </c>
      <c r="F19" s="17"/>
    </row>
    <row r="20" spans="1:7" x14ac:dyDescent="0.2">
      <c r="A20" s="10" t="s">
        <v>35</v>
      </c>
      <c r="B20" s="4">
        <f>SUM(B14:B19)</f>
        <v>1143</v>
      </c>
      <c r="C20" s="4">
        <f>SUM(C14:C19)</f>
        <v>-219.3</v>
      </c>
      <c r="E20" s="4">
        <f>SUM(E14:E19)</f>
        <v>95.8</v>
      </c>
      <c r="F20" s="4">
        <f>E20/12</f>
        <v>7.9833333333333334</v>
      </c>
    </row>
    <row r="21" spans="1:7" x14ac:dyDescent="0.2">
      <c r="B21" s="7"/>
      <c r="C21" s="7"/>
      <c r="E21" s="4"/>
    </row>
    <row r="22" spans="1:7" x14ac:dyDescent="0.2">
      <c r="A22" s="6" t="s">
        <v>49</v>
      </c>
      <c r="B22" s="7"/>
      <c r="C22" s="7"/>
    </row>
    <row r="23" spans="1:7" s="6" customFormat="1" x14ac:dyDescent="0.2">
      <c r="A23" s="40" t="s">
        <v>54</v>
      </c>
      <c r="B23" s="41"/>
      <c r="C23" s="41"/>
      <c r="D23" s="41"/>
      <c r="E23" s="41"/>
      <c r="F23" s="41"/>
      <c r="G23" s="41"/>
    </row>
    <row r="24" spans="1:7" x14ac:dyDescent="0.2">
      <c r="A24" s="34"/>
      <c r="B24" s="35" t="s">
        <v>44</v>
      </c>
      <c r="C24" s="36">
        <f>IRR(C25:C61)</f>
        <v>4.5833333333333615E-2</v>
      </c>
      <c r="D24" s="16" t="s">
        <v>45</v>
      </c>
      <c r="E24" s="16" t="s">
        <v>46</v>
      </c>
      <c r="F24" s="16" t="s">
        <v>47</v>
      </c>
      <c r="G24" s="16" t="s">
        <v>48</v>
      </c>
    </row>
    <row r="25" spans="1:7" x14ac:dyDescent="0.2">
      <c r="A25" s="34">
        <v>0</v>
      </c>
      <c r="B25" s="35"/>
      <c r="C25" s="4">
        <v>-350</v>
      </c>
      <c r="D25" s="4"/>
      <c r="E25" s="4"/>
      <c r="F25" s="4"/>
      <c r="G25" s="4">
        <f>-C25</f>
        <v>350</v>
      </c>
    </row>
    <row r="26" spans="1:7" s="33" customFormat="1" x14ac:dyDescent="0.2">
      <c r="A26" s="37">
        <v>1</v>
      </c>
      <c r="B26" s="38">
        <v>43191</v>
      </c>
      <c r="C26" s="4">
        <v>20.032755780088188</v>
      </c>
      <c r="D26" s="4">
        <f>G25</f>
        <v>350</v>
      </c>
      <c r="E26" s="4">
        <f>D26*$C$24</f>
        <v>16.041666666666764</v>
      </c>
      <c r="F26" s="4">
        <f>-C26</f>
        <v>-20.032755780088188</v>
      </c>
      <c r="G26" s="4">
        <f>SUM(D26:F26)</f>
        <v>346.00891088657858</v>
      </c>
    </row>
    <row r="27" spans="1:7" s="33" customFormat="1" x14ac:dyDescent="0.2">
      <c r="A27" s="37">
        <v>2</v>
      </c>
      <c r="B27" s="38">
        <v>43221</v>
      </c>
      <c r="C27" s="4">
        <v>20.032755780088184</v>
      </c>
      <c r="D27" s="4">
        <f t="shared" ref="D27:D61" si="1">G26</f>
        <v>346.00891088657858</v>
      </c>
      <c r="E27" s="4">
        <f t="shared" ref="E27:E61" si="2">D27*$C$24</f>
        <v>15.858741748968281</v>
      </c>
      <c r="F27" s="4">
        <f t="shared" ref="F27:F61" si="3">-C27</f>
        <v>-20.032755780088184</v>
      </c>
      <c r="G27" s="4">
        <f t="shared" ref="G27:G61" si="4">SUM(D27:F27)</f>
        <v>341.83489685545868</v>
      </c>
    </row>
    <row r="28" spans="1:7" s="33" customFormat="1" x14ac:dyDescent="0.2">
      <c r="A28" s="37">
        <v>3</v>
      </c>
      <c r="B28" s="38">
        <v>43252</v>
      </c>
      <c r="C28" s="4">
        <v>20.032755780088188</v>
      </c>
      <c r="D28" s="4">
        <f t="shared" si="1"/>
        <v>341.83489685545868</v>
      </c>
      <c r="E28" s="4">
        <f t="shared" si="2"/>
        <v>15.667432772541952</v>
      </c>
      <c r="F28" s="4">
        <f t="shared" si="3"/>
        <v>-20.032755780088188</v>
      </c>
      <c r="G28" s="4">
        <f t="shared" si="4"/>
        <v>337.46957384791244</v>
      </c>
    </row>
    <row r="29" spans="1:7" s="33" customFormat="1" x14ac:dyDescent="0.2">
      <c r="A29" s="37">
        <v>4</v>
      </c>
      <c r="B29" s="38">
        <v>43282</v>
      </c>
      <c r="C29" s="4">
        <v>20.032755780088184</v>
      </c>
      <c r="D29" s="4">
        <f t="shared" si="1"/>
        <v>337.46957384791244</v>
      </c>
      <c r="E29" s="4">
        <f t="shared" si="2"/>
        <v>15.467355468029416</v>
      </c>
      <c r="F29" s="4">
        <f t="shared" si="3"/>
        <v>-20.032755780088184</v>
      </c>
      <c r="G29" s="4">
        <f t="shared" si="4"/>
        <v>332.90417353585372</v>
      </c>
    </row>
    <row r="30" spans="1:7" s="33" customFormat="1" x14ac:dyDescent="0.2">
      <c r="A30" s="37">
        <v>5</v>
      </c>
      <c r="B30" s="38">
        <v>43313</v>
      </c>
      <c r="C30" s="4">
        <v>20.032755780088184</v>
      </c>
      <c r="D30" s="4">
        <f t="shared" si="1"/>
        <v>332.90417353585372</v>
      </c>
      <c r="E30" s="4">
        <f t="shared" si="2"/>
        <v>15.258107953726721</v>
      </c>
      <c r="F30" s="4">
        <f t="shared" si="3"/>
        <v>-20.032755780088184</v>
      </c>
      <c r="G30" s="4">
        <f t="shared" si="4"/>
        <v>328.12952570949227</v>
      </c>
    </row>
    <row r="31" spans="1:7" s="33" customFormat="1" x14ac:dyDescent="0.2">
      <c r="A31" s="37">
        <v>6</v>
      </c>
      <c r="B31" s="38">
        <v>43344</v>
      </c>
      <c r="C31" s="4">
        <v>20.032755780088184</v>
      </c>
      <c r="D31" s="4">
        <f t="shared" si="1"/>
        <v>328.12952570949227</v>
      </c>
      <c r="E31" s="4">
        <f t="shared" si="2"/>
        <v>15.039269928351821</v>
      </c>
      <c r="F31" s="4">
        <f t="shared" si="3"/>
        <v>-20.032755780088184</v>
      </c>
      <c r="G31" s="4">
        <f t="shared" si="4"/>
        <v>323.13603985775592</v>
      </c>
    </row>
    <row r="32" spans="1:7" s="33" customFormat="1" x14ac:dyDescent="0.2">
      <c r="A32" s="37">
        <v>7</v>
      </c>
      <c r="B32" s="38">
        <v>43374</v>
      </c>
      <c r="C32" s="4">
        <v>20.032755780088188</v>
      </c>
      <c r="D32" s="4">
        <f t="shared" si="1"/>
        <v>323.13603985775592</v>
      </c>
      <c r="E32" s="4">
        <f t="shared" si="2"/>
        <v>14.810401826813903</v>
      </c>
      <c r="F32" s="4">
        <f t="shared" si="3"/>
        <v>-20.032755780088188</v>
      </c>
      <c r="G32" s="4">
        <f t="shared" si="4"/>
        <v>317.91368590448167</v>
      </c>
    </row>
    <row r="33" spans="1:7" s="33" customFormat="1" x14ac:dyDescent="0.2">
      <c r="A33" s="37">
        <v>8</v>
      </c>
      <c r="B33" s="38">
        <v>43405</v>
      </c>
      <c r="C33" s="4">
        <v>20.032755780088184</v>
      </c>
      <c r="D33" s="4">
        <f t="shared" si="1"/>
        <v>317.91368590448167</v>
      </c>
      <c r="E33" s="4">
        <f t="shared" si="2"/>
        <v>14.571043937288833</v>
      </c>
      <c r="F33" s="4">
        <f t="shared" si="3"/>
        <v>-20.032755780088184</v>
      </c>
      <c r="G33" s="4">
        <f t="shared" si="4"/>
        <v>312.45197406168234</v>
      </c>
    </row>
    <row r="34" spans="1:7" s="33" customFormat="1" x14ac:dyDescent="0.2">
      <c r="A34" s="37">
        <v>9</v>
      </c>
      <c r="B34" s="38">
        <v>43435</v>
      </c>
      <c r="C34" s="4">
        <v>20.032755780088188</v>
      </c>
      <c r="D34" s="4">
        <f t="shared" si="1"/>
        <v>312.45197406168234</v>
      </c>
      <c r="E34" s="4">
        <f t="shared" si="2"/>
        <v>14.320715477827195</v>
      </c>
      <c r="F34" s="4">
        <f t="shared" si="3"/>
        <v>-20.032755780088188</v>
      </c>
      <c r="G34" s="4">
        <f t="shared" si="4"/>
        <v>306.73993375942138</v>
      </c>
    </row>
    <row r="35" spans="1:7" s="33" customFormat="1" x14ac:dyDescent="0.2">
      <c r="A35" s="37">
        <v>10</v>
      </c>
      <c r="B35" s="38">
        <v>43466</v>
      </c>
      <c r="C35" s="4">
        <v>20.032755780088188</v>
      </c>
      <c r="D35" s="4">
        <f t="shared" si="1"/>
        <v>306.73993375942138</v>
      </c>
      <c r="E35" s="4">
        <f t="shared" si="2"/>
        <v>14.058913630640232</v>
      </c>
      <c r="F35" s="4">
        <f t="shared" si="3"/>
        <v>-20.032755780088188</v>
      </c>
      <c r="G35" s="4">
        <f t="shared" si="4"/>
        <v>300.76609160997344</v>
      </c>
    </row>
    <row r="36" spans="1:7" s="33" customFormat="1" x14ac:dyDescent="0.2">
      <c r="A36" s="37">
        <v>11</v>
      </c>
      <c r="B36" s="38">
        <v>43497</v>
      </c>
      <c r="C36" s="4">
        <v>20.032755780088184</v>
      </c>
      <c r="D36" s="4">
        <f t="shared" si="1"/>
        <v>300.76609160997344</v>
      </c>
      <c r="E36" s="4">
        <f t="shared" si="2"/>
        <v>13.785112532123867</v>
      </c>
      <c r="F36" s="4">
        <f t="shared" si="3"/>
        <v>-20.032755780088184</v>
      </c>
      <c r="G36" s="4">
        <f t="shared" si="4"/>
        <v>294.51844836200917</v>
      </c>
    </row>
    <row r="37" spans="1:7" s="33" customFormat="1" x14ac:dyDescent="0.2">
      <c r="A37" s="37">
        <v>12</v>
      </c>
      <c r="B37" s="38">
        <v>43525</v>
      </c>
      <c r="C37" s="4">
        <v>20.032755780088184</v>
      </c>
      <c r="D37" s="4">
        <f t="shared" si="1"/>
        <v>294.51844836200917</v>
      </c>
      <c r="E37" s="4">
        <f t="shared" si="2"/>
        <v>13.498762216592169</v>
      </c>
      <c r="F37" s="4">
        <f t="shared" si="3"/>
        <v>-20.032755780088184</v>
      </c>
      <c r="G37" s="4">
        <f t="shared" si="4"/>
        <v>287.98445479851318</v>
      </c>
    </row>
    <row r="38" spans="1:7" x14ac:dyDescent="0.2">
      <c r="A38" s="34">
        <v>13</v>
      </c>
      <c r="B38" s="38">
        <v>43556</v>
      </c>
      <c r="C38" s="4">
        <v>20.032755780088188</v>
      </c>
      <c r="D38" s="4">
        <f t="shared" si="1"/>
        <v>287.98445479851318</v>
      </c>
      <c r="E38" s="4">
        <f t="shared" si="2"/>
        <v>13.199287511598602</v>
      </c>
      <c r="F38" s="4">
        <f t="shared" si="3"/>
        <v>-20.032755780088188</v>
      </c>
      <c r="G38" s="4">
        <f t="shared" si="4"/>
        <v>281.1509865300236</v>
      </c>
    </row>
    <row r="39" spans="1:7" x14ac:dyDescent="0.2">
      <c r="A39" s="34">
        <v>14</v>
      </c>
      <c r="B39" s="38">
        <v>43586</v>
      </c>
      <c r="C39" s="4">
        <v>20.032755780088188</v>
      </c>
      <c r="D39" s="4">
        <f t="shared" si="1"/>
        <v>281.1509865300236</v>
      </c>
      <c r="E39" s="4">
        <f t="shared" si="2"/>
        <v>12.886086882626161</v>
      </c>
      <c r="F39" s="4">
        <f t="shared" si="3"/>
        <v>-20.032755780088188</v>
      </c>
      <c r="G39" s="4">
        <f t="shared" si="4"/>
        <v>274.00431763256159</v>
      </c>
    </row>
    <row r="40" spans="1:7" x14ac:dyDescent="0.2">
      <c r="A40" s="34">
        <v>15</v>
      </c>
      <c r="B40" s="38">
        <v>43617</v>
      </c>
      <c r="C40" s="4">
        <v>20.032755780088188</v>
      </c>
      <c r="D40" s="4">
        <f t="shared" si="1"/>
        <v>274.00431763256159</v>
      </c>
      <c r="E40" s="4">
        <f t="shared" si="2"/>
        <v>12.558531224825817</v>
      </c>
      <c r="F40" s="4">
        <f t="shared" si="3"/>
        <v>-20.032755780088188</v>
      </c>
      <c r="G40" s="4">
        <f t="shared" si="4"/>
        <v>266.53009307729923</v>
      </c>
    </row>
    <row r="41" spans="1:7" x14ac:dyDescent="0.2">
      <c r="A41" s="34">
        <v>16</v>
      </c>
      <c r="B41" s="38">
        <v>43647</v>
      </c>
      <c r="C41" s="4">
        <v>20.032755780088184</v>
      </c>
      <c r="D41" s="4">
        <f t="shared" si="1"/>
        <v>266.53009307729923</v>
      </c>
      <c r="E41" s="4">
        <f t="shared" si="2"/>
        <v>12.21596259937629</v>
      </c>
      <c r="F41" s="4">
        <f t="shared" si="3"/>
        <v>-20.032755780088184</v>
      </c>
      <c r="G41" s="4">
        <f t="shared" si="4"/>
        <v>258.71329989658733</v>
      </c>
    </row>
    <row r="42" spans="1:7" x14ac:dyDescent="0.2">
      <c r="A42" s="34">
        <v>17</v>
      </c>
      <c r="B42" s="38">
        <v>43678</v>
      </c>
      <c r="C42" s="4">
        <v>20.032755780088188</v>
      </c>
      <c r="D42" s="4">
        <f t="shared" si="1"/>
        <v>258.71329989658733</v>
      </c>
      <c r="E42" s="4">
        <f t="shared" si="2"/>
        <v>11.857692911926993</v>
      </c>
      <c r="F42" s="4">
        <f t="shared" si="3"/>
        <v>-20.032755780088188</v>
      </c>
      <c r="G42" s="4">
        <f t="shared" si="4"/>
        <v>250.53823702842615</v>
      </c>
    </row>
    <row r="43" spans="1:7" x14ac:dyDescent="0.2">
      <c r="A43" s="34">
        <v>18</v>
      </c>
      <c r="B43" s="38">
        <v>43709</v>
      </c>
      <c r="C43" s="4">
        <v>20.032755780088184</v>
      </c>
      <c r="D43" s="4">
        <f t="shared" si="1"/>
        <v>250.53823702842615</v>
      </c>
      <c r="E43" s="4">
        <f t="shared" si="2"/>
        <v>11.483002530469603</v>
      </c>
      <c r="F43" s="4">
        <f t="shared" si="3"/>
        <v>-20.032755780088184</v>
      </c>
      <c r="G43" s="4">
        <f t="shared" si="4"/>
        <v>241.98848377880753</v>
      </c>
    </row>
    <row r="44" spans="1:7" x14ac:dyDescent="0.2">
      <c r="A44" s="34">
        <v>19</v>
      </c>
      <c r="B44" s="38">
        <v>43739</v>
      </c>
      <c r="C44" s="4">
        <v>20.032755780088184</v>
      </c>
      <c r="D44" s="4">
        <f t="shared" si="1"/>
        <v>241.98848377880753</v>
      </c>
      <c r="E44" s="4">
        <f t="shared" si="2"/>
        <v>11.091138839862079</v>
      </c>
      <c r="F44" s="4">
        <f t="shared" si="3"/>
        <v>-20.032755780088184</v>
      </c>
      <c r="G44" s="4">
        <f t="shared" si="4"/>
        <v>233.04686683858142</v>
      </c>
    </row>
    <row r="45" spans="1:7" x14ac:dyDescent="0.2">
      <c r="A45" s="34">
        <v>20</v>
      </c>
      <c r="B45" s="38">
        <v>43770</v>
      </c>
      <c r="C45" s="4">
        <v>20.032755780088188</v>
      </c>
      <c r="D45" s="4">
        <f t="shared" si="1"/>
        <v>233.04686683858142</v>
      </c>
      <c r="E45" s="4">
        <f t="shared" si="2"/>
        <v>10.681314730101715</v>
      </c>
      <c r="F45" s="4">
        <f t="shared" si="3"/>
        <v>-20.032755780088188</v>
      </c>
      <c r="G45" s="4">
        <f t="shared" si="4"/>
        <v>223.69542578859495</v>
      </c>
    </row>
    <row r="46" spans="1:7" x14ac:dyDescent="0.2">
      <c r="A46" s="34">
        <v>21</v>
      </c>
      <c r="B46" s="38">
        <v>43800</v>
      </c>
      <c r="C46" s="4">
        <v>20.032755780088188</v>
      </c>
      <c r="D46" s="4">
        <f t="shared" si="1"/>
        <v>223.69542578859495</v>
      </c>
      <c r="E46" s="4">
        <f t="shared" si="2"/>
        <v>10.252707015310664</v>
      </c>
      <c r="F46" s="4">
        <f t="shared" si="3"/>
        <v>-20.032755780088188</v>
      </c>
      <c r="G46" s="4">
        <f t="shared" si="4"/>
        <v>213.91537702381743</v>
      </c>
    </row>
    <row r="47" spans="1:7" x14ac:dyDescent="0.2">
      <c r="A47" s="34">
        <v>22</v>
      </c>
      <c r="B47" s="38">
        <v>43831</v>
      </c>
      <c r="C47" s="4">
        <v>20.032755780088188</v>
      </c>
      <c r="D47" s="4">
        <f t="shared" si="1"/>
        <v>213.91537702381743</v>
      </c>
      <c r="E47" s="4">
        <f t="shared" si="2"/>
        <v>9.804454780258359</v>
      </c>
      <c r="F47" s="4">
        <f t="shared" si="3"/>
        <v>-20.032755780088188</v>
      </c>
      <c r="G47" s="4">
        <f t="shared" si="4"/>
        <v>203.6870760239876</v>
      </c>
    </row>
    <row r="48" spans="1:7" x14ac:dyDescent="0.2">
      <c r="A48" s="34">
        <v>23</v>
      </c>
      <c r="B48" s="38">
        <v>43862</v>
      </c>
      <c r="C48" s="4">
        <v>20.032755780088188</v>
      </c>
      <c r="D48" s="4">
        <f t="shared" si="1"/>
        <v>203.6870760239876</v>
      </c>
      <c r="E48" s="4">
        <f t="shared" si="2"/>
        <v>9.3356576510994884</v>
      </c>
      <c r="F48" s="4">
        <f t="shared" si="3"/>
        <v>-20.032755780088188</v>
      </c>
      <c r="G48" s="4">
        <f t="shared" si="4"/>
        <v>192.9899778949989</v>
      </c>
    </row>
    <row r="49" spans="1:7" x14ac:dyDescent="0.2">
      <c r="A49" s="34">
        <v>24</v>
      </c>
      <c r="B49" s="38">
        <v>43891</v>
      </c>
      <c r="C49" s="4">
        <v>20.032755780088188</v>
      </c>
      <c r="D49" s="4">
        <f t="shared" si="1"/>
        <v>192.9899778949989</v>
      </c>
      <c r="E49" s="4">
        <f t="shared" si="2"/>
        <v>8.8453739868541703</v>
      </c>
      <c r="F49" s="4">
        <f t="shared" si="3"/>
        <v>-20.032755780088188</v>
      </c>
      <c r="G49" s="4">
        <f t="shared" si="4"/>
        <v>181.80259610176486</v>
      </c>
    </row>
    <row r="50" spans="1:7" x14ac:dyDescent="0.2">
      <c r="A50" s="34">
        <v>25</v>
      </c>
      <c r="B50" s="38">
        <v>43922</v>
      </c>
      <c r="C50" s="4">
        <v>20.032755780088184</v>
      </c>
      <c r="D50" s="4">
        <f t="shared" si="1"/>
        <v>181.80259610176486</v>
      </c>
      <c r="E50" s="4">
        <f t="shared" si="2"/>
        <v>8.3326189879976074</v>
      </c>
      <c r="F50" s="4">
        <f t="shared" si="3"/>
        <v>-20.032755780088184</v>
      </c>
      <c r="G50" s="4">
        <f t="shared" si="4"/>
        <v>170.10245930967429</v>
      </c>
    </row>
    <row r="51" spans="1:7" x14ac:dyDescent="0.2">
      <c r="A51" s="34">
        <v>26</v>
      </c>
      <c r="B51" s="38">
        <v>43952</v>
      </c>
      <c r="C51" s="4">
        <v>20.032755780088184</v>
      </c>
      <c r="D51" s="4">
        <f t="shared" si="1"/>
        <v>170.10245930967429</v>
      </c>
      <c r="E51" s="4">
        <f t="shared" si="2"/>
        <v>7.7963627183601192</v>
      </c>
      <c r="F51" s="4">
        <f t="shared" si="3"/>
        <v>-20.032755780088184</v>
      </c>
      <c r="G51" s="4">
        <f t="shared" si="4"/>
        <v>157.86606624794621</v>
      </c>
    </row>
    <row r="52" spans="1:7" x14ac:dyDescent="0.2">
      <c r="A52" s="34">
        <v>27</v>
      </c>
      <c r="B52" s="38">
        <v>43983</v>
      </c>
      <c r="C52" s="4">
        <v>20.032755780088181</v>
      </c>
      <c r="D52" s="4">
        <f t="shared" si="1"/>
        <v>157.86606624794621</v>
      </c>
      <c r="E52" s="4">
        <f t="shared" si="2"/>
        <v>7.2355280363642454</v>
      </c>
      <c r="F52" s="4">
        <f t="shared" si="3"/>
        <v>-20.032755780088181</v>
      </c>
      <c r="G52" s="4">
        <f t="shared" si="4"/>
        <v>145.0688385042223</v>
      </c>
    </row>
    <row r="53" spans="1:7" x14ac:dyDescent="0.2">
      <c r="A53" s="34">
        <v>28</v>
      </c>
      <c r="B53" s="38">
        <v>44013</v>
      </c>
      <c r="C53" s="4">
        <v>20.032755780088188</v>
      </c>
      <c r="D53" s="4">
        <f t="shared" si="1"/>
        <v>145.0688385042223</v>
      </c>
      <c r="E53" s="4">
        <f t="shared" si="2"/>
        <v>6.6489884314435628</v>
      </c>
      <c r="F53" s="4">
        <f t="shared" si="3"/>
        <v>-20.032755780088188</v>
      </c>
      <c r="G53" s="4">
        <f t="shared" si="4"/>
        <v>131.68507115557767</v>
      </c>
    </row>
    <row r="54" spans="1:7" x14ac:dyDescent="0.2">
      <c r="A54" s="34">
        <v>29</v>
      </c>
      <c r="B54" s="38">
        <v>44044</v>
      </c>
      <c r="C54" s="4">
        <v>20.032755780088184</v>
      </c>
      <c r="D54" s="4">
        <f t="shared" si="1"/>
        <v>131.68507115557767</v>
      </c>
      <c r="E54" s="4">
        <f t="shared" si="2"/>
        <v>6.035565761297347</v>
      </c>
      <c r="F54" s="4">
        <f t="shared" si="3"/>
        <v>-20.032755780088184</v>
      </c>
      <c r="G54" s="4">
        <f t="shared" si="4"/>
        <v>117.68788113678683</v>
      </c>
    </row>
    <row r="55" spans="1:7" x14ac:dyDescent="0.2">
      <c r="A55" s="34">
        <v>30</v>
      </c>
      <c r="B55" s="38">
        <v>44075</v>
      </c>
      <c r="C55" s="4">
        <v>20.032755780088184</v>
      </c>
      <c r="D55" s="4">
        <f t="shared" si="1"/>
        <v>117.68788113678683</v>
      </c>
      <c r="E55" s="4">
        <f t="shared" si="2"/>
        <v>5.3940278854360963</v>
      </c>
      <c r="F55" s="4">
        <f t="shared" si="3"/>
        <v>-20.032755780088184</v>
      </c>
      <c r="G55" s="4">
        <f t="shared" si="4"/>
        <v>103.04915324213475</v>
      </c>
    </row>
    <row r="56" spans="1:7" x14ac:dyDescent="0.2">
      <c r="A56" s="34">
        <v>31</v>
      </c>
      <c r="B56" s="38">
        <v>44105</v>
      </c>
      <c r="C56" s="4">
        <v>20.032755780088188</v>
      </c>
      <c r="D56" s="4">
        <f t="shared" si="1"/>
        <v>103.04915324213475</v>
      </c>
      <c r="E56" s="4">
        <f t="shared" si="2"/>
        <v>4.7230861902645387</v>
      </c>
      <c r="F56" s="4">
        <f t="shared" si="3"/>
        <v>-20.032755780088188</v>
      </c>
      <c r="G56" s="4">
        <f t="shared" si="4"/>
        <v>87.739483652311094</v>
      </c>
    </row>
    <row r="57" spans="1:7" x14ac:dyDescent="0.2">
      <c r="A57" s="34">
        <v>32</v>
      </c>
      <c r="B57" s="38">
        <v>44136</v>
      </c>
      <c r="C57" s="4">
        <v>20.032755780088188</v>
      </c>
      <c r="D57" s="4">
        <f t="shared" si="1"/>
        <v>87.739483652311094</v>
      </c>
      <c r="E57" s="4">
        <f t="shared" si="2"/>
        <v>4.0213930007309502</v>
      </c>
      <c r="F57" s="4">
        <f t="shared" si="3"/>
        <v>-20.032755780088188</v>
      </c>
      <c r="G57" s="4">
        <f t="shared" si="4"/>
        <v>71.728120872953866</v>
      </c>
    </row>
    <row r="58" spans="1:7" x14ac:dyDescent="0.2">
      <c r="A58" s="34">
        <v>33</v>
      </c>
      <c r="B58" s="38">
        <v>44166</v>
      </c>
      <c r="C58" s="4">
        <v>20.032755780088188</v>
      </c>
      <c r="D58" s="4">
        <f t="shared" si="1"/>
        <v>71.728120872953866</v>
      </c>
      <c r="E58" s="4">
        <f t="shared" si="2"/>
        <v>3.2875388733437392</v>
      </c>
      <c r="F58" s="4">
        <f t="shared" si="3"/>
        <v>-20.032755780088188</v>
      </c>
      <c r="G58" s="4">
        <f t="shared" si="4"/>
        <v>54.982903966209413</v>
      </c>
    </row>
    <row r="59" spans="1:7" x14ac:dyDescent="0.2">
      <c r="A59" s="34">
        <v>34</v>
      </c>
      <c r="B59" s="38">
        <v>44197</v>
      </c>
      <c r="C59" s="4">
        <v>20.032755780088184</v>
      </c>
      <c r="D59" s="4">
        <f t="shared" si="1"/>
        <v>54.982903966209413</v>
      </c>
      <c r="E59" s="4">
        <f t="shared" si="2"/>
        <v>2.520049765117947</v>
      </c>
      <c r="F59" s="4">
        <f t="shared" si="3"/>
        <v>-20.032755780088184</v>
      </c>
      <c r="G59" s="4">
        <f t="shared" si="4"/>
        <v>37.470197951239172</v>
      </c>
    </row>
    <row r="60" spans="1:7" x14ac:dyDescent="0.2">
      <c r="A60" s="35">
        <v>35</v>
      </c>
      <c r="B60" s="38">
        <v>44228</v>
      </c>
      <c r="C60" s="4">
        <v>20.032755780088188</v>
      </c>
      <c r="D60" s="4">
        <f t="shared" si="1"/>
        <v>37.470197951239172</v>
      </c>
      <c r="E60" s="4">
        <f t="shared" si="2"/>
        <v>1.7173840727651393</v>
      </c>
      <c r="F60" s="4">
        <f t="shared" si="3"/>
        <v>-20.032755780088188</v>
      </c>
      <c r="G60" s="4">
        <f t="shared" si="4"/>
        <v>19.154826243916126</v>
      </c>
    </row>
    <row r="61" spans="1:7" x14ac:dyDescent="0.2">
      <c r="A61" s="35">
        <v>36</v>
      </c>
      <c r="B61" s="38">
        <v>44256</v>
      </c>
      <c r="C61" s="4">
        <v>20.032755780088188</v>
      </c>
      <c r="D61" s="4">
        <f t="shared" si="1"/>
        <v>19.154826243916126</v>
      </c>
      <c r="E61" s="4">
        <f t="shared" si="2"/>
        <v>0.87792953617949454</v>
      </c>
      <c r="F61" s="4">
        <f t="shared" si="3"/>
        <v>-20.032755780088188</v>
      </c>
      <c r="G61" s="4">
        <f t="shared" si="4"/>
        <v>7.4322770160506479E-12</v>
      </c>
    </row>
    <row r="62" spans="1:7" x14ac:dyDescent="0.2">
      <c r="A62" s="35"/>
      <c r="B62" s="35"/>
      <c r="C62" s="4"/>
      <c r="D62" s="4"/>
      <c r="E62" s="4"/>
      <c r="F62" s="4"/>
      <c r="G62" s="4"/>
    </row>
    <row r="63" spans="1:7" x14ac:dyDescent="0.2">
      <c r="A63" s="35"/>
      <c r="B63" s="35"/>
    </row>
    <row r="64" spans="1:7" x14ac:dyDescent="0.2">
      <c r="A64" s="6" t="s">
        <v>50</v>
      </c>
    </row>
    <row r="65" spans="1:1" x14ac:dyDescent="0.2">
      <c r="A65" s="3" t="s">
        <v>51</v>
      </c>
    </row>
    <row r="66" spans="1:1" x14ac:dyDescent="0.2">
      <c r="A66" s="3" t="s">
        <v>52</v>
      </c>
    </row>
    <row r="67" spans="1:1" x14ac:dyDescent="0.2">
      <c r="A67" s="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A19" sqref="A19:B23"/>
    </sheetView>
  </sheetViews>
  <sheetFormatPr baseColWidth="10" defaultRowHeight="12.75" x14ac:dyDescent="0.2"/>
  <cols>
    <col min="1" max="1" width="34.42578125" style="3" bestFit="1" customWidth="1"/>
    <col min="2" max="8" width="13.7109375" style="3" customWidth="1"/>
    <col min="9" max="16384" width="11.42578125" style="3"/>
  </cols>
  <sheetData>
    <row r="1" spans="1:8" x14ac:dyDescent="0.2">
      <c r="A1" s="47" t="s">
        <v>21</v>
      </c>
      <c r="B1" s="51">
        <v>43070</v>
      </c>
      <c r="C1" s="51" t="s">
        <v>65</v>
      </c>
      <c r="D1" s="51" t="s">
        <v>66</v>
      </c>
      <c r="E1" s="47" t="s">
        <v>56</v>
      </c>
      <c r="F1" s="47" t="s">
        <v>55</v>
      </c>
      <c r="G1" s="47" t="s">
        <v>57</v>
      </c>
      <c r="H1" s="47" t="s">
        <v>58</v>
      </c>
    </row>
    <row r="2" spans="1:8" x14ac:dyDescent="0.2">
      <c r="A2" s="3" t="s">
        <v>0</v>
      </c>
      <c r="B2" s="4">
        <v>1912.3</v>
      </c>
      <c r="C2" s="3" t="s">
        <v>62</v>
      </c>
      <c r="D2" s="9">
        <v>43070</v>
      </c>
      <c r="E2" s="3">
        <f>'ipc empalme ipim'!$B$303</f>
        <v>124.79559999999999</v>
      </c>
      <c r="F2" s="3">
        <f>VLOOKUP(D2,'ipc empalme ipim'!$A:$B,2,FALSE)</f>
        <v>124.79559999999999</v>
      </c>
      <c r="G2" s="14">
        <f>E2/F2</f>
        <v>1</v>
      </c>
      <c r="H2" s="4">
        <f>B2*G2</f>
        <v>1912.3</v>
      </c>
    </row>
    <row r="3" spans="1:8" x14ac:dyDescent="0.2">
      <c r="A3" s="3" t="s">
        <v>1</v>
      </c>
      <c r="B3" s="4">
        <v>0</v>
      </c>
      <c r="C3" s="3" t="s">
        <v>62</v>
      </c>
      <c r="D3" s="9">
        <v>43070</v>
      </c>
      <c r="E3" s="3">
        <f>'ipc empalme ipim'!$B$303</f>
        <v>124.79559999999999</v>
      </c>
      <c r="F3" s="3">
        <f>VLOOKUP(D3,'ipc empalme ipim'!$A:$B,2,FALSE)</f>
        <v>124.79559999999999</v>
      </c>
      <c r="G3" s="14">
        <f>E3/F3</f>
        <v>1</v>
      </c>
      <c r="H3" s="4">
        <f>B3*G3</f>
        <v>0</v>
      </c>
    </row>
    <row r="4" spans="1:8" x14ac:dyDescent="0.2">
      <c r="A4" s="3" t="s">
        <v>2</v>
      </c>
      <c r="B4" s="4">
        <v>237</v>
      </c>
      <c r="C4" s="3" t="s">
        <v>62</v>
      </c>
      <c r="D4" s="9">
        <v>43070</v>
      </c>
      <c r="E4" s="3">
        <f>'ipc empalme ipim'!$B$303</f>
        <v>124.79559999999999</v>
      </c>
      <c r="F4" s="3">
        <f>VLOOKUP(D4,'ipc empalme ipim'!$A:$B,2,FALSE)</f>
        <v>124.79559999999999</v>
      </c>
      <c r="G4" s="14">
        <f t="shared" ref="G4:G5" si="0">E4/F4</f>
        <v>1</v>
      </c>
      <c r="H4" s="4">
        <f t="shared" ref="H4:H5" si="1">B4*G4</f>
        <v>237</v>
      </c>
    </row>
    <row r="5" spans="1:8" x14ac:dyDescent="0.2">
      <c r="A5" s="3" t="s">
        <v>3</v>
      </c>
      <c r="B5" s="4">
        <v>165</v>
      </c>
      <c r="C5" s="3" t="s">
        <v>62</v>
      </c>
      <c r="D5" s="9">
        <v>43070</v>
      </c>
      <c r="E5" s="3">
        <f>'ipc empalme ipim'!$B$303</f>
        <v>124.79559999999999</v>
      </c>
      <c r="F5" s="3">
        <f>VLOOKUP(D5,'ipc empalme ipim'!$A:$B,2,FALSE)</f>
        <v>124.79559999999999</v>
      </c>
      <c r="G5" s="14">
        <f t="shared" si="0"/>
        <v>1</v>
      </c>
      <c r="H5" s="4">
        <f t="shared" si="1"/>
        <v>165</v>
      </c>
    </row>
    <row r="6" spans="1:8" x14ac:dyDescent="0.2">
      <c r="A6" s="3" t="s">
        <v>19</v>
      </c>
      <c r="B6" s="4">
        <v>0</v>
      </c>
      <c r="G6" s="14"/>
      <c r="H6" s="4">
        <f>B6</f>
        <v>0</v>
      </c>
    </row>
    <row r="7" spans="1:8" x14ac:dyDescent="0.2">
      <c r="A7" s="3" t="s">
        <v>4</v>
      </c>
      <c r="B7" s="4">
        <v>1143</v>
      </c>
      <c r="C7" s="3" t="s">
        <v>63</v>
      </c>
      <c r="G7" s="14"/>
      <c r="H7" s="4">
        <f>PPE_INICIO!F7</f>
        <v>2475.2973295056049</v>
      </c>
    </row>
    <row r="8" spans="1:8" x14ac:dyDescent="0.2">
      <c r="A8" s="3" t="s">
        <v>5</v>
      </c>
      <c r="B8" s="4">
        <v>-219.3</v>
      </c>
      <c r="C8" s="3" t="s">
        <v>63</v>
      </c>
      <c r="G8" s="14"/>
      <c r="H8" s="4">
        <f>PPE_INICIO!F15</f>
        <v>-885.20968191869633</v>
      </c>
    </row>
    <row r="9" spans="1:8" x14ac:dyDescent="0.2">
      <c r="A9" s="3" t="s">
        <v>6</v>
      </c>
      <c r="B9" s="4">
        <v>-364</v>
      </c>
      <c r="C9" s="3" t="s">
        <v>62</v>
      </c>
      <c r="D9" s="9">
        <v>43070</v>
      </c>
      <c r="E9" s="3">
        <f>'ipc empalme ipim'!$B$303</f>
        <v>124.79559999999999</v>
      </c>
      <c r="F9" s="3">
        <f>VLOOKUP(D9,'ipc empalme ipim'!$A:$B,2,FALSE)</f>
        <v>124.79559999999999</v>
      </c>
      <c r="G9" s="14">
        <f t="shared" ref="G9" si="2">E9/F9</f>
        <v>1</v>
      </c>
      <c r="H9" s="4">
        <f t="shared" ref="H9" si="3">B9*G9</f>
        <v>-364</v>
      </c>
    </row>
    <row r="10" spans="1:8" x14ac:dyDescent="0.2">
      <c r="A10" s="3" t="s">
        <v>7</v>
      </c>
      <c r="B10" s="4">
        <v>0</v>
      </c>
      <c r="C10" s="3" t="s">
        <v>62</v>
      </c>
      <c r="D10" s="9">
        <v>43070</v>
      </c>
      <c r="E10" s="3">
        <f>'ipc empalme ipim'!$B$303</f>
        <v>124.79559999999999</v>
      </c>
      <c r="F10" s="3">
        <f>VLOOKUP(D10,'ipc empalme ipim'!$A:$B,2,FALSE)</f>
        <v>124.79559999999999</v>
      </c>
      <c r="G10" s="14">
        <f t="shared" ref="G10" si="4">E10/F10</f>
        <v>1</v>
      </c>
      <c r="H10" s="4">
        <f t="shared" ref="H10" si="5">B10*G10</f>
        <v>0</v>
      </c>
    </row>
    <row r="11" spans="1:8" x14ac:dyDescent="0.2">
      <c r="A11" s="3" t="s">
        <v>8</v>
      </c>
      <c r="B11" s="4">
        <v>-74</v>
      </c>
      <c r="C11" s="3" t="s">
        <v>62</v>
      </c>
      <c r="D11" s="9">
        <v>43070</v>
      </c>
      <c r="E11" s="3">
        <f>'ipc empalme ipim'!$B$303</f>
        <v>124.79559999999999</v>
      </c>
      <c r="F11" s="3">
        <f>VLOOKUP(D11,'ipc empalme ipim'!$A:$B,2,FALSE)</f>
        <v>124.79559999999999</v>
      </c>
      <c r="G11" s="14">
        <f t="shared" ref="G11" si="6">E11/F11</f>
        <v>1</v>
      </c>
      <c r="H11" s="4">
        <f t="shared" ref="H11" si="7">B11*G11</f>
        <v>-74</v>
      </c>
    </row>
    <row r="12" spans="1:8" x14ac:dyDescent="0.2">
      <c r="A12" s="54" t="s">
        <v>67</v>
      </c>
      <c r="B12" s="55"/>
      <c r="C12" s="54"/>
      <c r="D12" s="56"/>
      <c r="E12" s="54"/>
      <c r="F12" s="54"/>
      <c r="G12" s="59"/>
      <c r="H12" s="55">
        <f>-H23</f>
        <v>-166.59691189672714</v>
      </c>
    </row>
    <row r="13" spans="1:8" x14ac:dyDescent="0.2">
      <c r="A13" s="3" t="s">
        <v>9</v>
      </c>
      <c r="B13" s="4">
        <f>-1000-970</f>
        <v>-1970</v>
      </c>
      <c r="C13" s="3" t="s">
        <v>63</v>
      </c>
      <c r="D13" s="9">
        <v>37653</v>
      </c>
      <c r="E13" s="3">
        <f>'ipc empalme ipim'!$B$303</f>
        <v>124.79559999999999</v>
      </c>
      <c r="F13" s="3">
        <f>VLOOKUP(D13,'ipc empalme ipim'!$A:$B,2,FALSE)</f>
        <v>16.588679111930272</v>
      </c>
      <c r="G13" s="14">
        <f>E13/F13</f>
        <v>7.5229377310848875</v>
      </c>
      <c r="H13" s="4">
        <f>B13*G13</f>
        <v>-14820.187330237228</v>
      </c>
    </row>
    <row r="14" spans="1:8" x14ac:dyDescent="0.2">
      <c r="A14" s="3" t="s">
        <v>39</v>
      </c>
      <c r="B14" s="4"/>
      <c r="G14" s="14"/>
      <c r="H14" s="4"/>
    </row>
    <row r="15" spans="1:8" x14ac:dyDescent="0.2">
      <c r="A15" s="3" t="s">
        <v>10</v>
      </c>
      <c r="B15" s="4">
        <v>-180</v>
      </c>
      <c r="C15" s="3" t="s">
        <v>62</v>
      </c>
      <c r="D15" s="9">
        <v>43070</v>
      </c>
      <c r="E15" s="3">
        <f>'ipc empalme ipim'!$B$303</f>
        <v>124.79559999999999</v>
      </c>
      <c r="F15" s="3">
        <f>VLOOKUP(D15,'ipc empalme ipim'!$A:$B,2,FALSE)</f>
        <v>124.79559999999999</v>
      </c>
      <c r="G15" s="14">
        <f>E15/F15</f>
        <v>1</v>
      </c>
      <c r="H15" s="4">
        <f>B15*G15</f>
        <v>-180</v>
      </c>
    </row>
    <row r="16" spans="1:8" x14ac:dyDescent="0.2">
      <c r="A16" s="3" t="s">
        <v>11</v>
      </c>
      <c r="B16" s="4">
        <v>-650</v>
      </c>
      <c r="H16" s="4">
        <f>-SUM(H2:H15)</f>
        <v>11700.396594547046</v>
      </c>
    </row>
    <row r="17" spans="1:8" x14ac:dyDescent="0.2">
      <c r="B17" s="4">
        <f>SUM(B2:B16)</f>
        <v>0</v>
      </c>
      <c r="H17" s="4">
        <f>SUM(H2:H16)</f>
        <v>0</v>
      </c>
    </row>
    <row r="19" spans="1:8" x14ac:dyDescent="0.2">
      <c r="A19" s="47" t="s">
        <v>67</v>
      </c>
      <c r="B19" s="51">
        <v>43070</v>
      </c>
      <c r="C19" s="47"/>
      <c r="D19" s="47"/>
      <c r="E19" s="47"/>
      <c r="F19" s="47"/>
      <c r="G19" s="47"/>
      <c r="H19" s="47" t="s">
        <v>58</v>
      </c>
    </row>
    <row r="20" spans="1:8" x14ac:dyDescent="0.2">
      <c r="A20" s="3" t="s">
        <v>68</v>
      </c>
      <c r="B20" s="4">
        <f>SUM(B7:B8)</f>
        <v>923.7</v>
      </c>
      <c r="H20" s="4">
        <f>SUM(H7:H8)</f>
        <v>1590.0876475869086</v>
      </c>
    </row>
    <row r="21" spans="1:8" x14ac:dyDescent="0.2">
      <c r="A21" s="3" t="s">
        <v>69</v>
      </c>
      <c r="B21" s="4">
        <f>B20</f>
        <v>923.7</v>
      </c>
      <c r="H21" s="4">
        <f>B21</f>
        <v>923.7</v>
      </c>
    </row>
    <row r="22" spans="1:8" x14ac:dyDescent="0.2">
      <c r="A22" s="3" t="s">
        <v>70</v>
      </c>
      <c r="B22" s="4">
        <f>B20-B21</f>
        <v>0</v>
      </c>
      <c r="H22" s="4">
        <f>H20-H21</f>
        <v>666.38764758690854</v>
      </c>
    </row>
    <row r="23" spans="1:8" x14ac:dyDescent="0.2">
      <c r="A23" s="57" t="s">
        <v>71</v>
      </c>
      <c r="B23" s="58">
        <f>B22*0.25</f>
        <v>0</v>
      </c>
      <c r="C23" s="58"/>
      <c r="D23" s="58"/>
      <c r="E23" s="58"/>
      <c r="F23" s="58"/>
      <c r="G23" s="58"/>
      <c r="H23" s="58">
        <f>H22*0.25</f>
        <v>166.59691189672714</v>
      </c>
    </row>
  </sheetData>
  <pageMargins left="0.7" right="0.7" top="0.75" bottom="0.75" header="0.3" footer="0.3"/>
  <ignoredErrors>
    <ignoredError sqref="B20:B21" formulaRange="1"/>
    <ignoredError sqref="H12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workbookViewId="0">
      <selection activeCell="I24" sqref="I24"/>
    </sheetView>
  </sheetViews>
  <sheetFormatPr baseColWidth="10" defaultRowHeight="12.75" x14ac:dyDescent="0.2"/>
  <cols>
    <col min="1" max="1" width="13.28515625" style="3" bestFit="1" customWidth="1"/>
    <col min="2" max="6" width="13.7109375" style="3" customWidth="1"/>
    <col min="7" max="16384" width="11.42578125" style="3"/>
  </cols>
  <sheetData>
    <row r="1" spans="1:6" x14ac:dyDescent="0.2">
      <c r="A1" s="47" t="s">
        <v>60</v>
      </c>
      <c r="B1" s="47" t="s">
        <v>59</v>
      </c>
      <c r="C1" s="47" t="s">
        <v>56</v>
      </c>
      <c r="D1" s="47" t="s">
        <v>55</v>
      </c>
      <c r="E1" s="47" t="s">
        <v>57</v>
      </c>
      <c r="F1" s="47" t="s">
        <v>58</v>
      </c>
    </row>
    <row r="2" spans="1:6" x14ac:dyDescent="0.2">
      <c r="A2" s="9">
        <v>37653</v>
      </c>
      <c r="B2" s="4">
        <f>INFORMACIÓN_ADICIONAL!B14</f>
        <v>130</v>
      </c>
      <c r="C2" s="3">
        <f>'ipc empalme ipim'!$B$303</f>
        <v>124.79559999999999</v>
      </c>
      <c r="D2" s="42">
        <f>VLOOKUP(A2,'ipc empalme ipim'!$A:$B,2,FALSE)</f>
        <v>16.588679111930272</v>
      </c>
      <c r="E2" s="14">
        <f>C2/D2</f>
        <v>7.5229377310848875</v>
      </c>
      <c r="F2" s="4">
        <f>B2*E2</f>
        <v>977.98190504103536</v>
      </c>
    </row>
    <row r="3" spans="1:6" x14ac:dyDescent="0.2">
      <c r="A3" s="9">
        <v>42125</v>
      </c>
      <c r="B3" s="4">
        <v>180</v>
      </c>
      <c r="C3" s="3">
        <f>'ipc empalme ipim'!$B$303</f>
        <v>124.79559999999999</v>
      </c>
      <c r="D3" s="42">
        <f>VLOOKUP(A3,'ipc empalme ipim'!$A:$B,2,FALSE)</f>
        <v>65.752820320822565</v>
      </c>
      <c r="E3" s="14">
        <f t="shared" ref="E3:E6" si="0">C3/D3</f>
        <v>1.8979505273096215</v>
      </c>
      <c r="F3" s="4">
        <f t="shared" ref="F3:F6" si="1">B3*E3</f>
        <v>341.63109491573186</v>
      </c>
    </row>
    <row r="4" spans="1:6" x14ac:dyDescent="0.2">
      <c r="A4" s="9">
        <v>42278</v>
      </c>
      <c r="B4" s="4">
        <v>240</v>
      </c>
      <c r="C4" s="3">
        <f>'ipc empalme ipim'!$B$303</f>
        <v>124.79559999999999</v>
      </c>
      <c r="D4" s="42">
        <f>VLOOKUP(A4,'ipc empalme ipim'!$A:$B,2,FALSE)</f>
        <v>70.109975762601096</v>
      </c>
      <c r="E4" s="14">
        <f t="shared" si="0"/>
        <v>1.7799977626945631</v>
      </c>
      <c r="F4" s="4">
        <f t="shared" si="1"/>
        <v>427.19946304669514</v>
      </c>
    </row>
    <row r="5" spans="1:6" x14ac:dyDescent="0.2">
      <c r="A5" s="9">
        <v>42736</v>
      </c>
      <c r="B5" s="4">
        <v>258</v>
      </c>
      <c r="C5" s="3">
        <f>'ipc empalme ipim'!$B$303</f>
        <v>124.79559999999999</v>
      </c>
      <c r="D5" s="42">
        <f>VLOOKUP(A5,'ipc empalme ipim'!$A:$B,2,FALSE)</f>
        <v>101.5859</v>
      </c>
      <c r="E5" s="14">
        <f t="shared" si="0"/>
        <v>1.2284736365972049</v>
      </c>
      <c r="F5" s="4">
        <f t="shared" si="1"/>
        <v>316.94619824207888</v>
      </c>
    </row>
    <row r="6" spans="1:6" x14ac:dyDescent="0.2">
      <c r="A6" s="45">
        <v>42736</v>
      </c>
      <c r="B6" s="18">
        <v>335</v>
      </c>
      <c r="C6" s="17">
        <f>'ipc empalme ipim'!$B$303</f>
        <v>124.79559999999999</v>
      </c>
      <c r="D6" s="43">
        <f>VLOOKUP(A6,'ipc empalme ipim'!$A:$B,2,FALSE)</f>
        <v>101.5859</v>
      </c>
      <c r="E6" s="44">
        <f t="shared" si="0"/>
        <v>1.2284736365972049</v>
      </c>
      <c r="F6" s="18">
        <f t="shared" si="1"/>
        <v>411.53866826006362</v>
      </c>
    </row>
    <row r="7" spans="1:6" x14ac:dyDescent="0.2">
      <c r="A7" s="48" t="s">
        <v>35</v>
      </c>
      <c r="B7" s="49">
        <f>SUM(B1:B6)</f>
        <v>1143</v>
      </c>
      <c r="C7" s="50"/>
      <c r="D7" s="50"/>
      <c r="E7" s="50"/>
      <c r="F7" s="49">
        <f>SUM(F2:F6)</f>
        <v>2475.2973295056049</v>
      </c>
    </row>
    <row r="9" spans="1:6" x14ac:dyDescent="0.2">
      <c r="A9" s="47" t="s">
        <v>64</v>
      </c>
      <c r="B9" s="47" t="s">
        <v>59</v>
      </c>
      <c r="C9" s="47" t="s">
        <v>56</v>
      </c>
      <c r="D9" s="47" t="s">
        <v>55</v>
      </c>
      <c r="E9" s="47" t="s">
        <v>57</v>
      </c>
      <c r="F9" s="47" t="s">
        <v>58</v>
      </c>
    </row>
    <row r="10" spans="1:6" x14ac:dyDescent="0.2">
      <c r="A10" s="9">
        <v>37653</v>
      </c>
      <c r="B10" s="4">
        <f>INFORMACIÓN_ADICIONAL!C14</f>
        <v>-91</v>
      </c>
      <c r="C10" s="3">
        <f>'ipc empalme ipim'!$B$303</f>
        <v>124.79559999999999</v>
      </c>
      <c r="D10" s="42">
        <f>VLOOKUP(A10,'ipc empalme ipim'!$A:$B,2,FALSE)</f>
        <v>16.588679111930272</v>
      </c>
      <c r="E10" s="14">
        <f>C10/D10</f>
        <v>7.5229377310848875</v>
      </c>
      <c r="F10" s="4">
        <f>B10*E10</f>
        <v>-684.5873335287248</v>
      </c>
    </row>
    <row r="11" spans="1:6" x14ac:dyDescent="0.2">
      <c r="A11" s="9">
        <v>42125</v>
      </c>
      <c r="B11" s="4">
        <f>INFORMACIÓN_ADICIONAL!C16</f>
        <v>-42</v>
      </c>
      <c r="C11" s="3">
        <f>'ipc empalme ipim'!$B$303</f>
        <v>124.79559999999999</v>
      </c>
      <c r="D11" s="42">
        <f>VLOOKUP(A11,'ipc empalme ipim'!$A:$B,2,FALSE)</f>
        <v>65.752820320822565</v>
      </c>
      <c r="E11" s="14">
        <f t="shared" ref="E11:E14" si="2">C11/D11</f>
        <v>1.8979505273096215</v>
      </c>
      <c r="F11" s="4">
        <f t="shared" ref="F11:F14" si="3">B11*E11</f>
        <v>-79.713922147004098</v>
      </c>
    </row>
    <row r="12" spans="1:6" x14ac:dyDescent="0.2">
      <c r="A12" s="9">
        <v>42278</v>
      </c>
      <c r="B12" s="4">
        <f>INFORMACIÓN_ADICIONAL!C17</f>
        <v>-27</v>
      </c>
      <c r="C12" s="3">
        <f>'ipc empalme ipim'!$B$303</f>
        <v>124.79559999999999</v>
      </c>
      <c r="D12" s="42">
        <f>VLOOKUP(A12,'ipc empalme ipim'!$A:$B,2,FALSE)</f>
        <v>70.109975762601096</v>
      </c>
      <c r="E12" s="14">
        <f t="shared" si="2"/>
        <v>1.7799977626945631</v>
      </c>
      <c r="F12" s="4">
        <f t="shared" si="3"/>
        <v>-48.059939592753203</v>
      </c>
    </row>
    <row r="13" spans="1:6" x14ac:dyDescent="0.2">
      <c r="A13" s="9">
        <v>42736</v>
      </c>
      <c r="B13" s="4">
        <f>INFORMACIÓN_ADICIONAL!C18</f>
        <v>-25.8</v>
      </c>
      <c r="C13" s="3">
        <f>'ipc empalme ipim'!$B$303</f>
        <v>124.79559999999999</v>
      </c>
      <c r="D13" s="42">
        <f>VLOOKUP(A13,'ipc empalme ipim'!$A:$B,2,FALSE)</f>
        <v>101.5859</v>
      </c>
      <c r="E13" s="14">
        <f t="shared" si="2"/>
        <v>1.2284736365972049</v>
      </c>
      <c r="F13" s="4">
        <f t="shared" si="3"/>
        <v>-31.694619824207887</v>
      </c>
    </row>
    <row r="14" spans="1:6" x14ac:dyDescent="0.2">
      <c r="A14" s="45">
        <v>42736</v>
      </c>
      <c r="B14" s="18">
        <f>INFORMACIÓN_ADICIONAL!C19</f>
        <v>-33.5</v>
      </c>
      <c r="C14" s="17">
        <f>'ipc empalme ipim'!$B$303</f>
        <v>124.79559999999999</v>
      </c>
      <c r="D14" s="43">
        <f>VLOOKUP(A14,'ipc empalme ipim'!$A:$B,2,FALSE)</f>
        <v>101.5859</v>
      </c>
      <c r="E14" s="44">
        <f t="shared" si="2"/>
        <v>1.2284736365972049</v>
      </c>
      <c r="F14" s="18">
        <f t="shared" si="3"/>
        <v>-41.153866826006364</v>
      </c>
    </row>
    <row r="15" spans="1:6" x14ac:dyDescent="0.2">
      <c r="A15" s="48" t="s">
        <v>35</v>
      </c>
      <c r="B15" s="49">
        <f>SUM(B9:B14)</f>
        <v>-219.3</v>
      </c>
      <c r="C15" s="50"/>
      <c r="D15" s="50"/>
      <c r="E15" s="50"/>
      <c r="F15" s="49">
        <f>SUM(F10:F14)</f>
        <v>-885.20968191869633</v>
      </c>
    </row>
    <row r="17" spans="1:6" x14ac:dyDescent="0.2">
      <c r="A17" s="50" t="s">
        <v>61</v>
      </c>
      <c r="B17" s="49">
        <f>B7+B15</f>
        <v>923.7</v>
      </c>
      <c r="C17" s="50"/>
      <c r="D17" s="50"/>
      <c r="E17" s="50"/>
      <c r="F17" s="49">
        <f>F7+F15</f>
        <v>1590.0876475869086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sqref="A1:F3"/>
    </sheetView>
  </sheetViews>
  <sheetFormatPr baseColWidth="10" defaultRowHeight="12.75" x14ac:dyDescent="0.2"/>
  <cols>
    <col min="1" max="1" width="31.5703125" style="3" bestFit="1" customWidth="1"/>
    <col min="2" max="6" width="13.7109375" style="3" customWidth="1"/>
    <col min="7" max="16384" width="11.42578125" style="3"/>
  </cols>
  <sheetData>
    <row r="1" spans="1:6" x14ac:dyDescent="0.2">
      <c r="A1" s="47" t="s">
        <v>60</v>
      </c>
      <c r="B1" s="47" t="s">
        <v>59</v>
      </c>
      <c r="C1" s="47" t="s">
        <v>56</v>
      </c>
      <c r="D1" s="47" t="s">
        <v>55</v>
      </c>
      <c r="E1" s="47" t="s">
        <v>57</v>
      </c>
      <c r="F1" s="47" t="s">
        <v>58</v>
      </c>
    </row>
    <row r="2" spans="1:6" x14ac:dyDescent="0.2">
      <c r="A2" s="9">
        <v>37653</v>
      </c>
      <c r="B2" s="4">
        <f>INFORMACIÓN_ADICIONAL!B14</f>
        <v>130</v>
      </c>
      <c r="C2" s="3">
        <f>'ipc empalme ipim'!$B$315</f>
        <v>184.2552</v>
      </c>
      <c r="D2" s="42">
        <f>VLOOKUP(A2,'ipc empalme ipim'!$A:$B,2,FALSE)</f>
        <v>16.588679111930272</v>
      </c>
      <c r="E2" s="14">
        <f>C2/D2</f>
        <v>11.107285803574744</v>
      </c>
      <c r="F2" s="4">
        <f>B2*E2</f>
        <v>1443.9471544647167</v>
      </c>
    </row>
    <row r="3" spans="1:6" x14ac:dyDescent="0.2">
      <c r="A3" s="9">
        <v>42125</v>
      </c>
      <c r="B3" s="4">
        <v>180</v>
      </c>
      <c r="C3" s="3">
        <f>'ipc empalme ipim'!$B$315</f>
        <v>184.2552</v>
      </c>
      <c r="D3" s="42">
        <f>VLOOKUP(A3,'ipc empalme ipim'!$A:$B,2,FALSE)</f>
        <v>65.752820320822565</v>
      </c>
      <c r="E3" s="14">
        <f t="shared" ref="E3:E6" si="0">C3/D3</f>
        <v>2.8022402552617227</v>
      </c>
      <c r="F3" s="4">
        <f t="shared" ref="F3:F6" si="1">B3*E3</f>
        <v>504.40324594711007</v>
      </c>
    </row>
    <row r="4" spans="1:6" x14ac:dyDescent="0.2">
      <c r="A4" s="9">
        <v>42278</v>
      </c>
      <c r="B4" s="4">
        <v>240</v>
      </c>
      <c r="C4" s="3">
        <f>'ipc empalme ipim'!$B$315</f>
        <v>184.2552</v>
      </c>
      <c r="D4" s="42">
        <f>VLOOKUP(A4,'ipc empalme ipim'!$A:$B,2,FALSE)</f>
        <v>70.109975762601096</v>
      </c>
      <c r="E4" s="14">
        <f t="shared" si="0"/>
        <v>2.6280881999432615</v>
      </c>
      <c r="F4" s="4">
        <f t="shared" si="1"/>
        <v>630.74116798638272</v>
      </c>
    </row>
    <row r="5" spans="1:6" x14ac:dyDescent="0.2">
      <c r="A5" s="39">
        <v>42736</v>
      </c>
      <c r="B5" s="60">
        <v>258</v>
      </c>
      <c r="C5" s="35">
        <f>'ipc empalme ipim'!$B$315</f>
        <v>184.2552</v>
      </c>
      <c r="D5" s="61">
        <f>VLOOKUP(A5,'ipc empalme ipim'!$A:$B,2,FALSE)</f>
        <v>101.5859</v>
      </c>
      <c r="E5" s="62">
        <f t="shared" si="0"/>
        <v>1.8137871495945797</v>
      </c>
      <c r="F5" s="60">
        <f t="shared" si="1"/>
        <v>467.95708459540157</v>
      </c>
    </row>
    <row r="6" spans="1:6" x14ac:dyDescent="0.2">
      <c r="A6" s="39">
        <v>42736</v>
      </c>
      <c r="B6" s="60">
        <v>335</v>
      </c>
      <c r="C6" s="35">
        <f>'ipc empalme ipim'!$B$315</f>
        <v>184.2552</v>
      </c>
      <c r="D6" s="61">
        <f>VLOOKUP(A6,'ipc empalme ipim'!$A:$B,2,FALSE)</f>
        <v>101.5859</v>
      </c>
      <c r="E6" s="62">
        <f t="shared" si="0"/>
        <v>1.8137871495945797</v>
      </c>
      <c r="F6" s="60">
        <f t="shared" si="1"/>
        <v>607.61869511418422</v>
      </c>
    </row>
    <row r="7" spans="1:6" x14ac:dyDescent="0.2">
      <c r="A7" s="45">
        <v>43191</v>
      </c>
      <c r="B7" s="18">
        <v>350</v>
      </c>
      <c r="C7" s="17">
        <f>'ipc empalme ipim'!$B$315</f>
        <v>184.2552</v>
      </c>
      <c r="D7" s="43">
        <f>VLOOKUP(A7,'ipc empalme ipim'!$A:$B,2,FALSE)</f>
        <v>136.75120000000001</v>
      </c>
      <c r="E7" s="44">
        <f t="shared" ref="E7" si="2">C7/D7</f>
        <v>1.3473753795213497</v>
      </c>
      <c r="F7" s="18">
        <f t="shared" ref="F7" si="3">B7*E7</f>
        <v>471.5813828324724</v>
      </c>
    </row>
    <row r="8" spans="1:6" x14ac:dyDescent="0.2">
      <c r="A8" s="48" t="s">
        <v>35</v>
      </c>
      <c r="B8" s="49">
        <f>SUM(B2:B7)</f>
        <v>1493</v>
      </c>
      <c r="C8" s="50"/>
      <c r="D8" s="50"/>
      <c r="E8" s="50"/>
      <c r="F8" s="49">
        <f>SUM(F2:F7)</f>
        <v>4126.2487309402677</v>
      </c>
    </row>
    <row r="10" spans="1:6" x14ac:dyDescent="0.2">
      <c r="A10" s="47" t="s">
        <v>64</v>
      </c>
      <c r="B10" s="47" t="s">
        <v>59</v>
      </c>
      <c r="C10" s="47" t="s">
        <v>56</v>
      </c>
      <c r="D10" s="47" t="s">
        <v>55</v>
      </c>
      <c r="E10" s="47" t="s">
        <v>57</v>
      </c>
      <c r="F10" s="47" t="s">
        <v>58</v>
      </c>
    </row>
    <row r="11" spans="1:6" x14ac:dyDescent="0.2">
      <c r="A11" s="9">
        <v>37653</v>
      </c>
      <c r="B11" s="4">
        <f>INFORMACIÓN_ADICIONAL!C14</f>
        <v>-91</v>
      </c>
      <c r="C11" s="3">
        <f>'ipc empalme ipim'!$B$315</f>
        <v>184.2552</v>
      </c>
      <c r="D11" s="42">
        <f>VLOOKUP(A11,'ipc empalme ipim'!$A:$B,2,FALSE)</f>
        <v>16.588679111930272</v>
      </c>
      <c r="E11" s="14">
        <f>C11/D11</f>
        <v>11.107285803574744</v>
      </c>
      <c r="F11" s="4">
        <f>B11*E11</f>
        <v>-1010.7630081253017</v>
      </c>
    </row>
    <row r="12" spans="1:6" x14ac:dyDescent="0.2">
      <c r="A12" s="9">
        <v>42125</v>
      </c>
      <c r="B12" s="4">
        <f>INFORMACIÓN_ADICIONAL!C16</f>
        <v>-42</v>
      </c>
      <c r="C12" s="3">
        <f>'ipc empalme ipim'!$B$315</f>
        <v>184.2552</v>
      </c>
      <c r="D12" s="42">
        <f>VLOOKUP(A12,'ipc empalme ipim'!$A:$B,2,FALSE)</f>
        <v>65.752820320822565</v>
      </c>
      <c r="E12" s="14">
        <f t="shared" ref="E12:E15" si="4">C12/D12</f>
        <v>2.8022402552617227</v>
      </c>
      <c r="F12" s="4">
        <f t="shared" ref="F12:F15" si="5">B12*E12</f>
        <v>-117.69409072099235</v>
      </c>
    </row>
    <row r="13" spans="1:6" x14ac:dyDescent="0.2">
      <c r="A13" s="9">
        <v>42278</v>
      </c>
      <c r="B13" s="4">
        <f>INFORMACIÓN_ADICIONAL!C17</f>
        <v>-27</v>
      </c>
      <c r="C13" s="3">
        <f>'ipc empalme ipim'!$B$315</f>
        <v>184.2552</v>
      </c>
      <c r="D13" s="42">
        <f>VLOOKUP(A13,'ipc empalme ipim'!$A:$B,2,FALSE)</f>
        <v>70.109975762601096</v>
      </c>
      <c r="E13" s="14">
        <f t="shared" si="4"/>
        <v>2.6280881999432615</v>
      </c>
      <c r="F13" s="4">
        <f t="shared" si="5"/>
        <v>-70.958381398468063</v>
      </c>
    </row>
    <row r="14" spans="1:6" x14ac:dyDescent="0.2">
      <c r="A14" s="9">
        <v>42736</v>
      </c>
      <c r="B14" s="4">
        <f>INFORMACIÓN_ADICIONAL!C18</f>
        <v>-25.8</v>
      </c>
      <c r="C14" s="3">
        <f>'ipc empalme ipim'!$B$315</f>
        <v>184.2552</v>
      </c>
      <c r="D14" s="42">
        <f>VLOOKUP(A14,'ipc empalme ipim'!$A:$B,2,FALSE)</f>
        <v>101.5859</v>
      </c>
      <c r="E14" s="14">
        <f t="shared" si="4"/>
        <v>1.8137871495945797</v>
      </c>
      <c r="F14" s="4">
        <f t="shared" si="5"/>
        <v>-46.795708459540158</v>
      </c>
    </row>
    <row r="15" spans="1:6" x14ac:dyDescent="0.2">
      <c r="A15" s="45">
        <v>42736</v>
      </c>
      <c r="B15" s="18">
        <f>INFORMACIÓN_ADICIONAL!C19</f>
        <v>-33.5</v>
      </c>
      <c r="C15" s="17">
        <f>'ipc empalme ipim'!$B$315</f>
        <v>184.2552</v>
      </c>
      <c r="D15" s="43">
        <f>VLOOKUP(A15,'ipc empalme ipim'!$A:$B,2,FALSE)</f>
        <v>101.5859</v>
      </c>
      <c r="E15" s="44">
        <f t="shared" si="4"/>
        <v>1.8137871495945797</v>
      </c>
      <c r="F15" s="18">
        <f t="shared" si="5"/>
        <v>-60.761869511418418</v>
      </c>
    </row>
    <row r="16" spans="1:6" x14ac:dyDescent="0.2">
      <c r="A16" s="48" t="s">
        <v>35</v>
      </c>
      <c r="B16" s="49">
        <f>SUM(B11:B15)</f>
        <v>-219.3</v>
      </c>
      <c r="C16" s="50"/>
      <c r="D16" s="50"/>
      <c r="E16" s="50"/>
      <c r="F16" s="49">
        <f>SUM(F11:F15)</f>
        <v>-1306.9730582157206</v>
      </c>
    </row>
    <row r="18" spans="1:6" x14ac:dyDescent="0.2">
      <c r="A18" s="47" t="s">
        <v>78</v>
      </c>
      <c r="B18" s="47" t="s">
        <v>59</v>
      </c>
      <c r="C18" s="47" t="s">
        <v>56</v>
      </c>
      <c r="D18" s="47" t="s">
        <v>55</v>
      </c>
      <c r="E18" s="47" t="s">
        <v>57</v>
      </c>
      <c r="F18" s="47" t="s">
        <v>58</v>
      </c>
    </row>
    <row r="19" spans="1:6" x14ac:dyDescent="0.2">
      <c r="A19" s="9">
        <v>37653</v>
      </c>
      <c r="B19" s="4">
        <f>-INFORMACIÓN_ADICIONAL!E14</f>
        <v>-6.5</v>
      </c>
      <c r="C19" s="3">
        <f>'ipc empalme ipim'!$B$315</f>
        <v>184.2552</v>
      </c>
      <c r="D19" s="42">
        <f>VLOOKUP(A19,'ipc empalme ipim'!$A:$B,2,FALSE)</f>
        <v>16.588679111930272</v>
      </c>
      <c r="E19" s="14">
        <f>C19/D19</f>
        <v>11.107285803574744</v>
      </c>
      <c r="F19" s="4">
        <f>B19*E19</f>
        <v>-72.197357723235839</v>
      </c>
    </row>
    <row r="20" spans="1:6" x14ac:dyDescent="0.2">
      <c r="A20" s="9">
        <v>42125</v>
      </c>
      <c r="B20" s="4">
        <f>-INFORMACIÓN_ADICIONAL!E16</f>
        <v>-18</v>
      </c>
      <c r="C20" s="3">
        <f>'ipc empalme ipim'!$B$315</f>
        <v>184.2552</v>
      </c>
      <c r="D20" s="42">
        <f>VLOOKUP(A20,'ipc empalme ipim'!$A:$B,2,FALSE)</f>
        <v>65.752820320822565</v>
      </c>
      <c r="E20" s="14">
        <f t="shared" ref="E20:E23" si="6">C20/D20</f>
        <v>2.8022402552617227</v>
      </c>
      <c r="F20" s="4">
        <f t="shared" ref="F20:F23" si="7">B20*E20</f>
        <v>-50.440324594711008</v>
      </c>
    </row>
    <row r="21" spans="1:6" x14ac:dyDescent="0.2">
      <c r="A21" s="9">
        <v>42278</v>
      </c>
      <c r="B21" s="4">
        <f>-INFORMACIÓN_ADICIONAL!E17</f>
        <v>-12</v>
      </c>
      <c r="C21" s="3">
        <f>'ipc empalme ipim'!$B$315</f>
        <v>184.2552</v>
      </c>
      <c r="D21" s="42">
        <f>VLOOKUP(A21,'ipc empalme ipim'!$A:$B,2,FALSE)</f>
        <v>70.109975762601096</v>
      </c>
      <c r="E21" s="14">
        <f t="shared" si="6"/>
        <v>2.6280881999432615</v>
      </c>
      <c r="F21" s="4">
        <f t="shared" si="7"/>
        <v>-31.537058399319136</v>
      </c>
    </row>
    <row r="22" spans="1:6" x14ac:dyDescent="0.2">
      <c r="A22" s="9">
        <v>42736</v>
      </c>
      <c r="B22" s="4">
        <f>-INFORMACIÓN_ADICIONAL!E18</f>
        <v>-25.8</v>
      </c>
      <c r="C22" s="3">
        <f>'ipc empalme ipim'!$B$315</f>
        <v>184.2552</v>
      </c>
      <c r="D22" s="42">
        <f>VLOOKUP(A22,'ipc empalme ipim'!$A:$B,2,FALSE)</f>
        <v>101.5859</v>
      </c>
      <c r="E22" s="14">
        <f t="shared" si="6"/>
        <v>1.8137871495945797</v>
      </c>
      <c r="F22" s="4">
        <f t="shared" si="7"/>
        <v>-46.795708459540158</v>
      </c>
    </row>
    <row r="23" spans="1:6" x14ac:dyDescent="0.2">
      <c r="A23" s="45">
        <v>42736</v>
      </c>
      <c r="B23" s="18">
        <f>-INFORMACIÓN_ADICIONAL!E19</f>
        <v>-33.5</v>
      </c>
      <c r="C23" s="17">
        <f>'ipc empalme ipim'!$B$315</f>
        <v>184.2552</v>
      </c>
      <c r="D23" s="43">
        <f>VLOOKUP(A23,'ipc empalme ipim'!$A:$B,2,FALSE)</f>
        <v>101.5859</v>
      </c>
      <c r="E23" s="44">
        <f t="shared" si="6"/>
        <v>1.8137871495945797</v>
      </c>
      <c r="F23" s="18">
        <f t="shared" si="7"/>
        <v>-60.761869511418418</v>
      </c>
    </row>
    <row r="24" spans="1:6" x14ac:dyDescent="0.2">
      <c r="A24" s="48" t="s">
        <v>35</v>
      </c>
      <c r="B24" s="49">
        <f>SUM(B18:B23)</f>
        <v>-95.8</v>
      </c>
      <c r="C24" s="50"/>
      <c r="D24" s="50"/>
      <c r="E24" s="50"/>
      <c r="F24" s="49">
        <f>SUM(F19:F23)</f>
        <v>-261.73231868822455</v>
      </c>
    </row>
    <row r="26" spans="1:6" x14ac:dyDescent="0.2">
      <c r="A26" s="50" t="s">
        <v>79</v>
      </c>
      <c r="B26" s="49">
        <f>B16+B24</f>
        <v>-315.10000000000002</v>
      </c>
      <c r="C26" s="50"/>
      <c r="D26" s="50"/>
      <c r="E26" s="50"/>
      <c r="F26" s="49">
        <f>F16+F24</f>
        <v>-1568.7053769039451</v>
      </c>
    </row>
    <row r="28" spans="1:6" x14ac:dyDescent="0.2">
      <c r="A28" s="50" t="s">
        <v>61</v>
      </c>
      <c r="B28" s="49">
        <f>B8+B26</f>
        <v>1177.9000000000001</v>
      </c>
      <c r="C28" s="50"/>
      <c r="D28" s="50"/>
      <c r="E28" s="50"/>
      <c r="F28" s="49">
        <f>F8+F26</f>
        <v>2557.5433540363229</v>
      </c>
    </row>
    <row r="30" spans="1:6" x14ac:dyDescent="0.2">
      <c r="A30" s="47" t="s">
        <v>67</v>
      </c>
      <c r="B30" s="51">
        <v>43435</v>
      </c>
      <c r="C30" s="46"/>
      <c r="D30" s="46"/>
      <c r="E30" s="46"/>
      <c r="F30" s="47" t="s">
        <v>58</v>
      </c>
    </row>
    <row r="31" spans="1:6" x14ac:dyDescent="0.2">
      <c r="A31" s="3" t="s">
        <v>68</v>
      </c>
      <c r="B31" s="4">
        <f>B28</f>
        <v>1177.9000000000001</v>
      </c>
      <c r="F31" s="4">
        <f>F28</f>
        <v>2557.5433540363229</v>
      </c>
    </row>
    <row r="32" spans="1:6" x14ac:dyDescent="0.2">
      <c r="A32" s="3" t="s">
        <v>69</v>
      </c>
      <c r="B32" s="4">
        <f>B31</f>
        <v>1177.9000000000001</v>
      </c>
      <c r="F32" s="4">
        <f>B32</f>
        <v>1177.9000000000001</v>
      </c>
    </row>
    <row r="33" spans="1:6" x14ac:dyDescent="0.2">
      <c r="A33" s="3" t="s">
        <v>70</v>
      </c>
      <c r="B33" s="4">
        <f>B31-B32</f>
        <v>0</v>
      </c>
      <c r="F33" s="4">
        <f>F31-F32</f>
        <v>1379.6433540363228</v>
      </c>
    </row>
    <row r="34" spans="1:6" x14ac:dyDescent="0.2">
      <c r="A34" s="57" t="s">
        <v>71</v>
      </c>
      <c r="B34" s="58">
        <f>B33*0.25</f>
        <v>0</v>
      </c>
      <c r="C34" s="57"/>
      <c r="D34" s="57"/>
      <c r="E34" s="57"/>
      <c r="F34" s="58">
        <f>F33*0.25</f>
        <v>344.91083850908069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workbookViewId="0">
      <selection activeCell="A15" sqref="A15"/>
    </sheetView>
  </sheetViews>
  <sheetFormatPr baseColWidth="10" defaultRowHeight="12.75" x14ac:dyDescent="0.2"/>
  <cols>
    <col min="1" max="16384" width="11.42578125" style="3"/>
  </cols>
  <sheetData>
    <row r="1" spans="1:7" x14ac:dyDescent="0.2">
      <c r="A1" s="47" t="s">
        <v>90</v>
      </c>
      <c r="B1" s="63" t="s">
        <v>12</v>
      </c>
      <c r="C1" s="47" t="s">
        <v>89</v>
      </c>
      <c r="D1" s="47" t="s">
        <v>62</v>
      </c>
      <c r="E1" s="47" t="s">
        <v>66</v>
      </c>
      <c r="F1" s="47" t="s">
        <v>57</v>
      </c>
      <c r="G1" s="47" t="s">
        <v>58</v>
      </c>
    </row>
    <row r="2" spans="1:7" x14ac:dyDescent="0.2">
      <c r="A2" s="9">
        <v>43101</v>
      </c>
      <c r="B2" s="4">
        <v>117</v>
      </c>
      <c r="C2" s="4">
        <f>B2/1.3</f>
        <v>90</v>
      </c>
      <c r="D2" s="3">
        <f>'ipc empalme ipim'!$B$315</f>
        <v>184.2552</v>
      </c>
      <c r="E2" s="3">
        <f>VLOOKUP(A2,'ipc empalme ipim'!$A:$B,2,FALSE)</f>
        <v>126.98869999999999</v>
      </c>
      <c r="F2" s="14">
        <f>D2/E2</f>
        <v>1.4509574473949258</v>
      </c>
      <c r="G2" s="4">
        <f>C2*F2</f>
        <v>130.58617026554333</v>
      </c>
    </row>
    <row r="3" spans="1:7" x14ac:dyDescent="0.2">
      <c r="A3" s="9">
        <v>43132</v>
      </c>
      <c r="B3" s="4">
        <v>124</v>
      </c>
      <c r="C3" s="4">
        <f t="shared" ref="C3:C13" si="0">B3/1.3</f>
        <v>95.384615384615387</v>
      </c>
      <c r="D3" s="3">
        <f>'ipc empalme ipim'!$B$315</f>
        <v>184.2552</v>
      </c>
      <c r="E3" s="3">
        <f>VLOOKUP(A3,'ipc empalme ipim'!$A:$B,2,FALSE)</f>
        <v>130.06059999999999</v>
      </c>
      <c r="F3" s="14">
        <f t="shared" ref="F3:F13" si="1">D3/E3</f>
        <v>1.4166872980748975</v>
      </c>
      <c r="G3" s="4">
        <f t="shared" ref="G3:G13" si="2">C3*F3</f>
        <v>135.13017304714407</v>
      </c>
    </row>
    <row r="4" spans="1:7" x14ac:dyDescent="0.2">
      <c r="A4" s="9">
        <v>43160</v>
      </c>
      <c r="B4" s="4">
        <v>233.5</v>
      </c>
      <c r="C4" s="4">
        <f t="shared" si="0"/>
        <v>179.61538461538461</v>
      </c>
      <c r="D4" s="3">
        <f>'ipc empalme ipim'!$B$315</f>
        <v>184.2552</v>
      </c>
      <c r="E4" s="3">
        <f>VLOOKUP(A4,'ipc empalme ipim'!$A:$B,2,FALSE)</f>
        <v>133.1054</v>
      </c>
      <c r="F4" s="14">
        <f t="shared" si="1"/>
        <v>1.3842804273906242</v>
      </c>
      <c r="G4" s="4">
        <f t="shared" si="2"/>
        <v>248.63806138131596</v>
      </c>
    </row>
    <row r="5" spans="1:7" x14ac:dyDescent="0.2">
      <c r="A5" s="9">
        <v>43191</v>
      </c>
      <c r="B5" s="4">
        <v>140</v>
      </c>
      <c r="C5" s="4">
        <f t="shared" si="0"/>
        <v>107.69230769230769</v>
      </c>
      <c r="D5" s="3">
        <f>'ipc empalme ipim'!$B$315</f>
        <v>184.2552</v>
      </c>
      <c r="E5" s="3">
        <f>VLOOKUP(A5,'ipc empalme ipim'!$A:$B,2,FALSE)</f>
        <v>136.75120000000001</v>
      </c>
      <c r="F5" s="14">
        <f t="shared" si="1"/>
        <v>1.3473753795213497</v>
      </c>
      <c r="G5" s="4">
        <f t="shared" si="2"/>
        <v>145.10196394845303</v>
      </c>
    </row>
    <row r="6" spans="1:7" x14ac:dyDescent="0.2">
      <c r="A6" s="9">
        <v>43221</v>
      </c>
      <c r="B6" s="4">
        <v>150</v>
      </c>
      <c r="C6" s="4">
        <f t="shared" si="0"/>
        <v>115.38461538461539</v>
      </c>
      <c r="D6" s="3">
        <f>'ipc empalme ipim'!$B$315</f>
        <v>184.2552</v>
      </c>
      <c r="E6" s="3">
        <f>VLOOKUP(A6,'ipc empalme ipim'!$A:$B,2,FALSE)</f>
        <v>139.58930000000001</v>
      </c>
      <c r="F6" s="14">
        <f t="shared" si="1"/>
        <v>1.3199808294761848</v>
      </c>
      <c r="G6" s="4">
        <f t="shared" si="2"/>
        <v>152.30548032417516</v>
      </c>
    </row>
    <row r="7" spans="1:7" x14ac:dyDescent="0.2">
      <c r="A7" s="9">
        <v>43252</v>
      </c>
      <c r="B7" s="4">
        <v>264.5</v>
      </c>
      <c r="C7" s="4">
        <f t="shared" si="0"/>
        <v>203.46153846153845</v>
      </c>
      <c r="D7" s="3">
        <f>'ipc empalme ipim'!$B$315</f>
        <v>184.2552</v>
      </c>
      <c r="E7" s="3">
        <f>VLOOKUP(A7,'ipc empalme ipim'!$A:$B,2,FALSE)</f>
        <v>144.80529999999999</v>
      </c>
      <c r="F7" s="14">
        <f t="shared" si="1"/>
        <v>1.272434089083756</v>
      </c>
      <c r="G7" s="4">
        <f t="shared" si="2"/>
        <v>258.89139735588725</v>
      </c>
    </row>
    <row r="8" spans="1:7" x14ac:dyDescent="0.2">
      <c r="A8" s="9">
        <v>43282</v>
      </c>
      <c r="B8" s="4">
        <v>175</v>
      </c>
      <c r="C8" s="4">
        <f t="shared" si="0"/>
        <v>134.61538461538461</v>
      </c>
      <c r="D8" s="3">
        <f>'ipc empalme ipim'!$B$315</f>
        <v>184.2552</v>
      </c>
      <c r="E8" s="3">
        <f>VLOOKUP(A8,'ipc empalme ipim'!$A:$B,2,FALSE)</f>
        <v>149.29660000000001</v>
      </c>
      <c r="F8" s="14">
        <f t="shared" si="1"/>
        <v>1.2341553658958073</v>
      </c>
      <c r="G8" s="4">
        <f t="shared" si="2"/>
        <v>166.13629925520482</v>
      </c>
    </row>
    <row r="9" spans="1:7" x14ac:dyDescent="0.2">
      <c r="A9" s="9">
        <v>43313</v>
      </c>
      <c r="B9" s="4">
        <v>131</v>
      </c>
      <c r="C9" s="4">
        <f t="shared" si="0"/>
        <v>100.76923076923076</v>
      </c>
      <c r="D9" s="3">
        <f>'ipc empalme ipim'!$B$315</f>
        <v>184.2552</v>
      </c>
      <c r="E9" s="3">
        <f>VLOOKUP(A9,'ipc empalme ipim'!$A:$B,2,FALSE)</f>
        <v>155.10339999999999</v>
      </c>
      <c r="F9" s="14">
        <f t="shared" si="1"/>
        <v>1.1879507476947637</v>
      </c>
      <c r="G9" s="4">
        <f t="shared" si="2"/>
        <v>119.70888303693387</v>
      </c>
    </row>
    <row r="10" spans="1:7" x14ac:dyDescent="0.2">
      <c r="A10" s="9">
        <v>43344</v>
      </c>
      <c r="B10" s="4">
        <v>150</v>
      </c>
      <c r="C10" s="4">
        <f t="shared" si="0"/>
        <v>115.38461538461539</v>
      </c>
      <c r="D10" s="3">
        <f>'ipc empalme ipim'!$B$315</f>
        <v>184.2552</v>
      </c>
      <c r="E10" s="3">
        <f>VLOOKUP(A10,'ipc empalme ipim'!$A:$B,2,FALSE)</f>
        <v>165.23830000000001</v>
      </c>
      <c r="F10" s="14">
        <f t="shared" si="1"/>
        <v>1.1150877248192459</v>
      </c>
      <c r="G10" s="4">
        <f t="shared" si="2"/>
        <v>128.66396824837452</v>
      </c>
    </row>
    <row r="11" spans="1:7" x14ac:dyDescent="0.2">
      <c r="A11" s="9">
        <v>43374</v>
      </c>
      <c r="B11" s="4">
        <v>300</v>
      </c>
      <c r="C11" s="4">
        <f t="shared" si="0"/>
        <v>230.76923076923077</v>
      </c>
      <c r="D11" s="3">
        <f>'ipc empalme ipim'!$B$315</f>
        <v>184.2552</v>
      </c>
      <c r="E11" s="3">
        <f>VLOOKUP(A11,'ipc empalme ipim'!$A:$B,2,FALSE)</f>
        <v>174.1473</v>
      </c>
      <c r="F11" s="14">
        <f t="shared" si="1"/>
        <v>1.0580422435489956</v>
      </c>
      <c r="G11" s="4">
        <f t="shared" si="2"/>
        <v>244.16359466515283</v>
      </c>
    </row>
    <row r="12" spans="1:7" x14ac:dyDescent="0.2">
      <c r="A12" s="9">
        <v>43405</v>
      </c>
      <c r="B12" s="4">
        <v>263</v>
      </c>
      <c r="C12" s="4">
        <f t="shared" si="0"/>
        <v>202.30769230769229</v>
      </c>
      <c r="D12" s="3">
        <f>'ipc empalme ipim'!$B$315</f>
        <v>184.2552</v>
      </c>
      <c r="E12" s="3">
        <f>VLOOKUP(A12,'ipc empalme ipim'!$A:$B,2,FALSE)</f>
        <v>179.6388</v>
      </c>
      <c r="F12" s="14">
        <f t="shared" si="1"/>
        <v>1.0256982344571439</v>
      </c>
      <c r="G12" s="4">
        <f t="shared" si="2"/>
        <v>207.50664281709911</v>
      </c>
    </row>
    <row r="13" spans="1:7" x14ac:dyDescent="0.2">
      <c r="A13" s="45">
        <v>43435</v>
      </c>
      <c r="B13" s="18">
        <v>257</v>
      </c>
      <c r="C13" s="18">
        <f t="shared" si="0"/>
        <v>197.69230769230768</v>
      </c>
      <c r="D13" s="17">
        <f>'ipc empalme ipim'!$B$315</f>
        <v>184.2552</v>
      </c>
      <c r="E13" s="17">
        <f>VLOOKUP(A13,'ipc empalme ipim'!$A:$B,2,FALSE)</f>
        <v>184.2552</v>
      </c>
      <c r="F13" s="44">
        <f t="shared" si="1"/>
        <v>1</v>
      </c>
      <c r="G13" s="18">
        <f t="shared" si="2"/>
        <v>197.69230769230768</v>
      </c>
    </row>
    <row r="14" spans="1:7" x14ac:dyDescent="0.2">
      <c r="A14" s="50" t="s">
        <v>35</v>
      </c>
      <c r="B14" s="49">
        <f>SUM(B2:B13)</f>
        <v>2305</v>
      </c>
      <c r="C14" s="49">
        <f>SUM(C2:C13)</f>
        <v>1773.0769230769231</v>
      </c>
      <c r="D14" s="50"/>
      <c r="E14" s="50"/>
      <c r="F14" s="50"/>
      <c r="G14" s="49">
        <f>SUM(G2:G13)</f>
        <v>2134.5249420375922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F3" sqref="F3"/>
    </sheetView>
  </sheetViews>
  <sheetFormatPr baseColWidth="10" defaultRowHeight="15" x14ac:dyDescent="0.25"/>
  <cols>
    <col min="1" max="1" width="13.5703125" bestFit="1" customWidth="1"/>
  </cols>
  <sheetData>
    <row r="1" spans="1:6" x14ac:dyDescent="0.25">
      <c r="A1" s="47" t="s">
        <v>10</v>
      </c>
      <c r="B1" s="47" t="s">
        <v>59</v>
      </c>
      <c r="C1" s="47" t="s">
        <v>56</v>
      </c>
      <c r="D1" s="47" t="s">
        <v>55</v>
      </c>
      <c r="E1" s="47" t="s">
        <v>57</v>
      </c>
      <c r="F1" s="47" t="s">
        <v>58</v>
      </c>
    </row>
    <row r="2" spans="1:6" x14ac:dyDescent="0.25">
      <c r="A2" s="9">
        <v>43070</v>
      </c>
      <c r="B2" s="4">
        <f>-ES_INICIO!B15</f>
        <v>180</v>
      </c>
      <c r="C2" s="3">
        <f>'ipc empalme ipim'!$B$315</f>
        <v>184.2552</v>
      </c>
      <c r="D2" s="42">
        <f>VLOOKUP(A2,'ipc empalme ipim'!$A:$B,2,FALSE)</f>
        <v>124.79559999999999</v>
      </c>
      <c r="E2" s="14">
        <f>C2/D2</f>
        <v>1.4764559006888065</v>
      </c>
      <c r="F2" s="4">
        <f>B2*E2</f>
        <v>265.76206212398517</v>
      </c>
    </row>
    <row r="3" spans="1:6" x14ac:dyDescent="0.25">
      <c r="A3" s="9">
        <v>43070</v>
      </c>
      <c r="B3" s="4">
        <f>150*5%</f>
        <v>7.5</v>
      </c>
      <c r="C3" s="3">
        <f>'ipc empalme ipim'!$B$315</f>
        <v>184.2552</v>
      </c>
      <c r="D3" s="42">
        <f>VLOOKUP(A3,'ipc empalme ipim'!$A:$B,2,FALSE)</f>
        <v>124.79559999999999</v>
      </c>
      <c r="E3" s="14">
        <f t="shared" ref="E3" si="0">C3/D3</f>
        <v>1.4764559006888065</v>
      </c>
      <c r="F3" s="4">
        <f t="shared" ref="F3" si="1">B3*E3</f>
        <v>11.07341925516605</v>
      </c>
    </row>
    <row r="4" spans="1:6" x14ac:dyDescent="0.25">
      <c r="B4" s="1">
        <f>B2+B3</f>
        <v>187.5</v>
      </c>
      <c r="F4" s="1">
        <f>F2+F3</f>
        <v>276.83548137915125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ipc empalme ipim</vt:lpstr>
      <vt:lpstr>Planteo general</vt:lpstr>
      <vt:lpstr>INFORMACIÓN_ADICIONAL</vt:lpstr>
      <vt:lpstr>ES_INICIO</vt:lpstr>
      <vt:lpstr>PPE_INICIO</vt:lpstr>
      <vt:lpstr>PPE_CIERRE</vt:lpstr>
      <vt:lpstr>COSTO_DE_VENTAS_2018</vt:lpstr>
      <vt:lpstr>PATRIMONIO_2018</vt:lpstr>
      <vt:lpstr>'ipc empalme ipim'!Títulos_a_imprimir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Hernán Casinelli</dc:creator>
  <cp:lastModifiedBy>Hernán Casinelli</cp:lastModifiedBy>
  <dcterms:created xsi:type="dcterms:W3CDTF">2019-02-17T00:09:37Z</dcterms:created>
  <dcterms:modified xsi:type="dcterms:W3CDTF">2019-02-17T04:15:02Z</dcterms:modified>
</cp:coreProperties>
</file>