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755"/>
  </bookViews>
  <sheets>
    <sheet name="Saldos_base_presentac" sheetId="17" r:id="rId1"/>
    <sheet name="ESP" sheetId="18" r:id="rId2"/>
    <sheet name="EERR" sheetId="19" r:id="rId3"/>
    <sheet name="EEPN" sheetId="20" r:id="rId4"/>
    <sheet name="EFE" sheetId="21" r:id="rId5"/>
    <sheet name="ANEXO - BU" sheetId="22" r:id="rId6"/>
    <sheet name="NOTA - IIGG" sheetId="23" r:id="rId7"/>
    <sheet name="Asiento" sheetId="16" r:id="rId8"/>
    <sheet name="ipc empalme ipim" sheetId="3" r:id="rId9"/>
    <sheet name="Paso 1.1" sheetId="1" r:id="rId10"/>
    <sheet name="Paso 1.2" sheetId="2" r:id="rId11"/>
    <sheet name="AUX-BU paso 1.2" sheetId="4" r:id="rId12"/>
    <sheet name="AUX-PID paso 1.2" sheetId="5" r:id="rId13"/>
    <sheet name="Paso 2" sheetId="6" r:id="rId14"/>
    <sheet name="Paso 3.1" sheetId="7" r:id="rId15"/>
    <sheet name="Paso 3.2" sheetId="8" r:id="rId16"/>
    <sheet name="Paso 4" sheetId="9" r:id="rId17"/>
    <sheet name="Paso 5.1" sheetId="10" r:id="rId18"/>
    <sheet name="Paso 5.2" sheetId="11" r:id="rId19"/>
    <sheet name="AUX-BU paso 5.2" sheetId="12" r:id="rId20"/>
    <sheet name="AUX-PID paso 5.2" sheetId="13" r:id="rId21"/>
    <sheet name="Paso 6" sheetId="14" r:id="rId22"/>
    <sheet name="AUX-Res-paso 6" sheetId="15" r:id="rId23"/>
  </sheets>
  <externalReferences>
    <externalReference r:id="rId24"/>
  </externalReferences>
  <definedNames>
    <definedName name="_xlnm.Print_Titles" localSheetId="8">'ipc empalme ipim'!$1:$3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1" l="1"/>
  <c r="C35" i="21"/>
  <c r="C31" i="21"/>
  <c r="M5" i="22" l="1"/>
  <c r="L5" i="22"/>
  <c r="I7" i="22"/>
  <c r="E7" i="22"/>
  <c r="D7" i="22"/>
  <c r="C7" i="22"/>
  <c r="F5" i="22"/>
  <c r="C5" i="22"/>
  <c r="P35" i="21"/>
  <c r="P34" i="21"/>
  <c r="P33" i="21"/>
  <c r="P32" i="21"/>
  <c r="P31" i="21"/>
  <c r="P30" i="21"/>
  <c r="P29" i="21"/>
  <c r="P28" i="21"/>
  <c r="P27" i="21"/>
  <c r="P26" i="21"/>
  <c r="O35" i="21"/>
  <c r="O34" i="21"/>
  <c r="O33" i="21"/>
  <c r="O32" i="21"/>
  <c r="O31" i="21"/>
  <c r="O30" i="21"/>
  <c r="O29" i="21"/>
  <c r="O28" i="21"/>
  <c r="O27" i="21"/>
  <c r="O26" i="21"/>
  <c r="L26" i="21"/>
  <c r="N35" i="21"/>
  <c r="N34" i="21"/>
  <c r="N33" i="21"/>
  <c r="N32" i="21"/>
  <c r="N31" i="21"/>
  <c r="N30" i="21"/>
  <c r="N29" i="21"/>
  <c r="S29" i="21" s="1"/>
  <c r="N28" i="21"/>
  <c r="N27" i="21"/>
  <c r="L35" i="21"/>
  <c r="L34" i="21"/>
  <c r="M34" i="21" s="1"/>
  <c r="L33" i="21"/>
  <c r="L32" i="21"/>
  <c r="M32" i="21" s="1"/>
  <c r="L31" i="21"/>
  <c r="L30" i="21"/>
  <c r="M30" i="21" s="1"/>
  <c r="L29" i="21"/>
  <c r="L28" i="21"/>
  <c r="M28" i="21" s="1"/>
  <c r="L27" i="21"/>
  <c r="C12" i="21"/>
  <c r="C11" i="21"/>
  <c r="H14" i="20"/>
  <c r="G14" i="20"/>
  <c r="F14" i="20"/>
  <c r="C18" i="20"/>
  <c r="E13" i="20"/>
  <c r="F13" i="20" s="1"/>
  <c r="E10" i="20"/>
  <c r="E18" i="20" s="1"/>
  <c r="C10" i="20"/>
  <c r="D10" i="20"/>
  <c r="B10" i="20"/>
  <c r="B18" i="20" s="1"/>
  <c r="D18" i="20" s="1"/>
  <c r="C22" i="19"/>
  <c r="C21" i="19"/>
  <c r="C19" i="19"/>
  <c r="C18" i="19"/>
  <c r="C17" i="19"/>
  <c r="C10" i="19"/>
  <c r="C9" i="19"/>
  <c r="C11" i="19" s="1"/>
  <c r="D26" i="18"/>
  <c r="D25" i="18"/>
  <c r="D23" i="18"/>
  <c r="D13" i="18"/>
  <c r="D12" i="18"/>
  <c r="D11" i="18"/>
  <c r="D10" i="18"/>
  <c r="C29" i="18"/>
  <c r="C24" i="18"/>
  <c r="C26" i="18"/>
  <c r="C25" i="18"/>
  <c r="S18" i="18"/>
  <c r="R18" i="18"/>
  <c r="Q18" i="18"/>
  <c r="P18" i="18"/>
  <c r="O18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C23" i="18"/>
  <c r="C13" i="18"/>
  <c r="C12" i="18"/>
  <c r="C11" i="18"/>
  <c r="C10" i="18"/>
  <c r="D16" i="17"/>
  <c r="D15" i="17"/>
  <c r="D14" i="17"/>
  <c r="D12" i="17"/>
  <c r="D11" i="17"/>
  <c r="D10" i="17"/>
  <c r="D7" i="17"/>
  <c r="D6" i="17"/>
  <c r="D5" i="17"/>
  <c r="D4" i="17"/>
  <c r="D3" i="17"/>
  <c r="C27" i="17"/>
  <c r="C26" i="17"/>
  <c r="C24" i="17"/>
  <c r="C23" i="17"/>
  <c r="C22" i="17"/>
  <c r="C20" i="17"/>
  <c r="C19" i="17"/>
  <c r="C18" i="17"/>
  <c r="C16" i="17"/>
  <c r="C15" i="17"/>
  <c r="C14" i="17"/>
  <c r="C12" i="17"/>
  <c r="C11" i="17"/>
  <c r="C10" i="17"/>
  <c r="C7" i="17"/>
  <c r="C6" i="17"/>
  <c r="C5" i="17"/>
  <c r="C4" i="17"/>
  <c r="C3" i="17"/>
  <c r="G27" i="16"/>
  <c r="F26" i="16"/>
  <c r="G24" i="16"/>
  <c r="F23" i="16"/>
  <c r="F22" i="16"/>
  <c r="F20" i="16"/>
  <c r="F19" i="16"/>
  <c r="G18" i="16"/>
  <c r="G15" i="16"/>
  <c r="E27" i="16"/>
  <c r="E26" i="16"/>
  <c r="E24" i="16"/>
  <c r="E23" i="16"/>
  <c r="E22" i="16"/>
  <c r="E20" i="16"/>
  <c r="E19" i="16"/>
  <c r="E18" i="16"/>
  <c r="E15" i="16"/>
  <c r="E14" i="16"/>
  <c r="E12" i="16"/>
  <c r="E11" i="16"/>
  <c r="E10" i="16"/>
  <c r="E7" i="16"/>
  <c r="E6" i="16"/>
  <c r="E5" i="16"/>
  <c r="E4" i="16"/>
  <c r="E3" i="16"/>
  <c r="D27" i="16"/>
  <c r="D26" i="16"/>
  <c r="D24" i="16"/>
  <c r="D23" i="16"/>
  <c r="D22" i="16"/>
  <c r="D20" i="16"/>
  <c r="D19" i="16"/>
  <c r="D18" i="16"/>
  <c r="D16" i="16"/>
  <c r="E16" i="16" s="1"/>
  <c r="G16" i="16" s="1"/>
  <c r="D15" i="16"/>
  <c r="D14" i="16"/>
  <c r="D12" i="16"/>
  <c r="D11" i="16"/>
  <c r="D10" i="16"/>
  <c r="D7" i="16"/>
  <c r="D6" i="16"/>
  <c r="D5" i="16"/>
  <c r="D4" i="16"/>
  <c r="D3" i="16"/>
  <c r="C27" i="16"/>
  <c r="C26" i="16"/>
  <c r="C25" i="16"/>
  <c r="C24" i="16"/>
  <c r="C22" i="16"/>
  <c r="C21" i="16"/>
  <c r="C20" i="16"/>
  <c r="C18" i="16"/>
  <c r="C19" i="16" s="1"/>
  <c r="C17" i="16"/>
  <c r="C16" i="16"/>
  <c r="C15" i="16"/>
  <c r="C14" i="16"/>
  <c r="C13" i="16"/>
  <c r="C12" i="16"/>
  <c r="C11" i="16"/>
  <c r="C10" i="16"/>
  <c r="C9" i="16"/>
  <c r="C8" i="16"/>
  <c r="C5" i="16"/>
  <c r="C4" i="16"/>
  <c r="C3" i="16"/>
  <c r="P23" i="14"/>
  <c r="O23" i="14"/>
  <c r="P19" i="14"/>
  <c r="O19" i="14"/>
  <c r="S6" i="14"/>
  <c r="O7" i="14"/>
  <c r="P12" i="14"/>
  <c r="P11" i="14"/>
  <c r="P10" i="14"/>
  <c r="P7" i="14"/>
  <c r="P6" i="14"/>
  <c r="P5" i="14"/>
  <c r="P4" i="14"/>
  <c r="P3" i="14"/>
  <c r="P27" i="14"/>
  <c r="P26" i="14"/>
  <c r="P24" i="14"/>
  <c r="P22" i="14"/>
  <c r="P20" i="14"/>
  <c r="P18" i="14"/>
  <c r="P16" i="14"/>
  <c r="O16" i="14" s="1"/>
  <c r="E3" i="15"/>
  <c r="F3" i="15" s="1"/>
  <c r="D3" i="15"/>
  <c r="F2" i="15"/>
  <c r="F4" i="15" s="1"/>
  <c r="E2" i="15"/>
  <c r="D2" i="15"/>
  <c r="C3" i="15"/>
  <c r="C2" i="15"/>
  <c r="B3" i="15"/>
  <c r="B2" i="15"/>
  <c r="B4" i="15" s="1"/>
  <c r="P15" i="14"/>
  <c r="O15" i="14"/>
  <c r="O14" i="14"/>
  <c r="P14" i="14"/>
  <c r="N27" i="14"/>
  <c r="N26" i="14"/>
  <c r="N24" i="14"/>
  <c r="N23" i="14"/>
  <c r="N22" i="14"/>
  <c r="N20" i="14"/>
  <c r="N19" i="14"/>
  <c r="N18" i="14"/>
  <c r="N16" i="14"/>
  <c r="N15" i="14"/>
  <c r="N14" i="14"/>
  <c r="N12" i="14"/>
  <c r="N11" i="14"/>
  <c r="N10" i="14"/>
  <c r="N7" i="14"/>
  <c r="N6" i="14"/>
  <c r="N5" i="14"/>
  <c r="N4" i="14"/>
  <c r="N3" i="14"/>
  <c r="K28" i="14"/>
  <c r="I28" i="14"/>
  <c r="H28" i="14"/>
  <c r="C28" i="14"/>
  <c r="G28" i="14"/>
  <c r="K24" i="14"/>
  <c r="I22" i="14"/>
  <c r="H27" i="14"/>
  <c r="G26" i="14"/>
  <c r="M12" i="14"/>
  <c r="M11" i="14"/>
  <c r="M10" i="14"/>
  <c r="M7" i="14"/>
  <c r="M6" i="14"/>
  <c r="M5" i="14"/>
  <c r="M4" i="14"/>
  <c r="M3" i="14"/>
  <c r="H12" i="14"/>
  <c r="K11" i="14"/>
  <c r="H10" i="14"/>
  <c r="G5" i="14"/>
  <c r="I4" i="14"/>
  <c r="G3" i="14"/>
  <c r="E34" i="14"/>
  <c r="E23" i="14"/>
  <c r="E19" i="14"/>
  <c r="E6" i="14"/>
  <c r="E7" i="14"/>
  <c r="F16" i="14"/>
  <c r="F15" i="14"/>
  <c r="F14" i="14"/>
  <c r="F12" i="14"/>
  <c r="F11" i="14"/>
  <c r="F10" i="14"/>
  <c r="F7" i="14"/>
  <c r="F6" i="14"/>
  <c r="F5" i="14"/>
  <c r="F4" i="14"/>
  <c r="F3" i="14"/>
  <c r="E30" i="14"/>
  <c r="D27" i="14"/>
  <c r="E27" i="14" s="1"/>
  <c r="C27" i="14"/>
  <c r="E26" i="14"/>
  <c r="D26" i="14"/>
  <c r="C26" i="14"/>
  <c r="D25" i="14"/>
  <c r="E25" i="14" s="1"/>
  <c r="C25" i="14"/>
  <c r="D24" i="14"/>
  <c r="E24" i="14" s="1"/>
  <c r="C24" i="14"/>
  <c r="D23" i="14"/>
  <c r="D22" i="14"/>
  <c r="E22" i="14" s="1"/>
  <c r="C22" i="14"/>
  <c r="D21" i="14"/>
  <c r="E21" i="14" s="1"/>
  <c r="C21" i="14"/>
  <c r="D20" i="14"/>
  <c r="E20" i="14" s="1"/>
  <c r="C20" i="14"/>
  <c r="D19" i="14"/>
  <c r="C19" i="14"/>
  <c r="D18" i="14"/>
  <c r="E18" i="14" s="1"/>
  <c r="C18" i="14"/>
  <c r="C17" i="14"/>
  <c r="D16" i="14"/>
  <c r="E16" i="14" s="1"/>
  <c r="C16" i="14"/>
  <c r="E15" i="14"/>
  <c r="D15" i="14"/>
  <c r="C15" i="14"/>
  <c r="D14" i="14"/>
  <c r="E14" i="14" s="1"/>
  <c r="C14" i="14"/>
  <c r="C13" i="14"/>
  <c r="D12" i="14"/>
  <c r="C12" i="14"/>
  <c r="E12" i="14" s="1"/>
  <c r="E11" i="14"/>
  <c r="D11" i="14"/>
  <c r="C11" i="14"/>
  <c r="E10" i="14"/>
  <c r="D10" i="14"/>
  <c r="C10" i="14"/>
  <c r="C9" i="14"/>
  <c r="C8" i="14"/>
  <c r="D7" i="14"/>
  <c r="E31" i="14" s="1"/>
  <c r="D6" i="14"/>
  <c r="E5" i="14"/>
  <c r="D5" i="14"/>
  <c r="C5" i="14"/>
  <c r="D4" i="14"/>
  <c r="C4" i="14"/>
  <c r="E4" i="14" s="1"/>
  <c r="D3" i="14"/>
  <c r="C3" i="14"/>
  <c r="E3" i="14" s="1"/>
  <c r="E23" i="11"/>
  <c r="E32" i="11"/>
  <c r="E34" i="11"/>
  <c r="E33" i="11"/>
  <c r="E30" i="11"/>
  <c r="E31" i="11"/>
  <c r="E19" i="11"/>
  <c r="E5" i="13"/>
  <c r="D5" i="13"/>
  <c r="F5" i="13" s="1"/>
  <c r="C28" i="11"/>
  <c r="C19" i="11"/>
  <c r="E23" i="12"/>
  <c r="D23" i="12"/>
  <c r="F23" i="12" s="1"/>
  <c r="G23" i="12" s="1"/>
  <c r="C23" i="12"/>
  <c r="E22" i="12"/>
  <c r="F22" i="12" s="1"/>
  <c r="D22" i="12"/>
  <c r="C22" i="12"/>
  <c r="D21" i="12"/>
  <c r="C21" i="12"/>
  <c r="E21" i="12" s="1"/>
  <c r="F21" i="12" s="1"/>
  <c r="D20" i="12"/>
  <c r="C20" i="12"/>
  <c r="E20" i="12" s="1"/>
  <c r="E19" i="12"/>
  <c r="D19" i="12"/>
  <c r="F19" i="12" s="1"/>
  <c r="C19" i="12"/>
  <c r="D15" i="12"/>
  <c r="C15" i="12"/>
  <c r="E15" i="12" s="1"/>
  <c r="F15" i="12" s="1"/>
  <c r="D14" i="12"/>
  <c r="C14" i="12"/>
  <c r="E14" i="12" s="1"/>
  <c r="E13" i="12"/>
  <c r="D13" i="12"/>
  <c r="F13" i="12" s="1"/>
  <c r="C13" i="12"/>
  <c r="E12" i="12"/>
  <c r="F12" i="12" s="1"/>
  <c r="G12" i="12" s="1"/>
  <c r="D12" i="12"/>
  <c r="C12" i="12"/>
  <c r="D11" i="12"/>
  <c r="C11" i="12"/>
  <c r="E11" i="12" s="1"/>
  <c r="F11" i="12" s="1"/>
  <c r="F7" i="12"/>
  <c r="G7" i="12" s="1"/>
  <c r="F6" i="12"/>
  <c r="G6" i="12" s="1"/>
  <c r="E7" i="12"/>
  <c r="E6" i="12"/>
  <c r="E5" i="12"/>
  <c r="E4" i="12"/>
  <c r="E3" i="12"/>
  <c r="D7" i="12"/>
  <c r="D6" i="12"/>
  <c r="D5" i="12"/>
  <c r="D4" i="12"/>
  <c r="D3" i="12"/>
  <c r="D2" i="12"/>
  <c r="B23" i="12"/>
  <c r="B22" i="12"/>
  <c r="B21" i="12"/>
  <c r="B20" i="12"/>
  <c r="B19" i="12"/>
  <c r="B15" i="12"/>
  <c r="B14" i="12"/>
  <c r="B13" i="12"/>
  <c r="B12" i="12"/>
  <c r="B11" i="12"/>
  <c r="B2" i="12"/>
  <c r="B8" i="12" s="1"/>
  <c r="C6" i="12"/>
  <c r="C5" i="12"/>
  <c r="C4" i="12"/>
  <c r="C3" i="12"/>
  <c r="F3" i="12" s="1"/>
  <c r="G3" i="12" s="1"/>
  <c r="C2" i="12"/>
  <c r="E2" i="12" s="1"/>
  <c r="F2" i="12" s="1"/>
  <c r="E27" i="11"/>
  <c r="E26" i="11"/>
  <c r="E25" i="11"/>
  <c r="E24" i="11"/>
  <c r="E22" i="11"/>
  <c r="E21" i="11"/>
  <c r="E20" i="11"/>
  <c r="E18" i="11"/>
  <c r="E16" i="11"/>
  <c r="E15" i="11"/>
  <c r="E14" i="11"/>
  <c r="E12" i="11"/>
  <c r="E11" i="11"/>
  <c r="E10" i="11"/>
  <c r="E6" i="11"/>
  <c r="E5" i="11"/>
  <c r="E4" i="11"/>
  <c r="E3" i="11"/>
  <c r="C27" i="11"/>
  <c r="C26" i="11"/>
  <c r="C25" i="11"/>
  <c r="C24" i="11"/>
  <c r="C22" i="11"/>
  <c r="C21" i="11"/>
  <c r="C20" i="11"/>
  <c r="C18" i="11"/>
  <c r="C17" i="11"/>
  <c r="C16" i="11"/>
  <c r="C15" i="11"/>
  <c r="C14" i="11"/>
  <c r="C13" i="11"/>
  <c r="C12" i="11"/>
  <c r="C11" i="11"/>
  <c r="C10" i="11"/>
  <c r="C9" i="11"/>
  <c r="C8" i="11"/>
  <c r="C5" i="11"/>
  <c r="C4" i="11"/>
  <c r="C3" i="11"/>
  <c r="D27" i="11"/>
  <c r="D26" i="11"/>
  <c r="D25" i="11"/>
  <c r="D24" i="11"/>
  <c r="D23" i="11"/>
  <c r="D22" i="11"/>
  <c r="D21" i="11"/>
  <c r="D20" i="11"/>
  <c r="D19" i="11"/>
  <c r="D18" i="11"/>
  <c r="D16" i="11"/>
  <c r="D15" i="11"/>
  <c r="D14" i="11"/>
  <c r="D12" i="11"/>
  <c r="D11" i="11"/>
  <c r="D10" i="11"/>
  <c r="D7" i="11"/>
  <c r="D6" i="11"/>
  <c r="D5" i="11"/>
  <c r="D4" i="11"/>
  <c r="D3" i="11"/>
  <c r="B26" i="10"/>
  <c r="B25" i="10"/>
  <c r="B24" i="10"/>
  <c r="B23" i="10"/>
  <c r="B22" i="10"/>
  <c r="B21" i="10"/>
  <c r="B20" i="10"/>
  <c r="B19" i="10"/>
  <c r="B18" i="10"/>
  <c r="B17" i="10"/>
  <c r="B15" i="10"/>
  <c r="B14" i="10"/>
  <c r="B13" i="10"/>
  <c r="B11" i="10"/>
  <c r="B10" i="10"/>
  <c r="B9" i="10"/>
  <c r="B6" i="10"/>
  <c r="B5" i="10"/>
  <c r="B4" i="10"/>
  <c r="B3" i="10"/>
  <c r="B2" i="10"/>
  <c r="N11" i="9"/>
  <c r="N24" i="9"/>
  <c r="T24" i="9"/>
  <c r="R24" i="9"/>
  <c r="Q24" i="9"/>
  <c r="P24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M24" i="9"/>
  <c r="L24" i="9"/>
  <c r="K24" i="9"/>
  <c r="J24" i="9"/>
  <c r="I24" i="9"/>
  <c r="H24" i="9"/>
  <c r="G24" i="9"/>
  <c r="F24" i="9"/>
  <c r="E24" i="9"/>
  <c r="D24" i="9"/>
  <c r="C24" i="9"/>
  <c r="B24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N12" i="9"/>
  <c r="M12" i="9"/>
  <c r="L12" i="9"/>
  <c r="K12" i="9"/>
  <c r="J12" i="9"/>
  <c r="I12" i="9"/>
  <c r="H12" i="9"/>
  <c r="G12" i="9"/>
  <c r="F12" i="9"/>
  <c r="E12" i="9"/>
  <c r="D12" i="9"/>
  <c r="C12" i="9"/>
  <c r="M11" i="9"/>
  <c r="L11" i="9"/>
  <c r="K11" i="9"/>
  <c r="J11" i="9"/>
  <c r="I11" i="9"/>
  <c r="H11" i="9"/>
  <c r="G11" i="9"/>
  <c r="F11" i="9"/>
  <c r="E11" i="9"/>
  <c r="D11" i="9"/>
  <c r="C11" i="9"/>
  <c r="B11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N9" i="9"/>
  <c r="M9" i="9"/>
  <c r="L9" i="9"/>
  <c r="K9" i="9"/>
  <c r="J9" i="9"/>
  <c r="I9" i="9"/>
  <c r="H9" i="9"/>
  <c r="G9" i="9"/>
  <c r="F9" i="9"/>
  <c r="E9" i="9"/>
  <c r="D9" i="9"/>
  <c r="C9" i="9"/>
  <c r="B9" i="9"/>
  <c r="N8" i="9"/>
  <c r="M8" i="9"/>
  <c r="L8" i="9"/>
  <c r="K8" i="9"/>
  <c r="J8" i="9"/>
  <c r="I8" i="9"/>
  <c r="H8" i="9"/>
  <c r="G8" i="9"/>
  <c r="F8" i="9"/>
  <c r="E8" i="9"/>
  <c r="D8" i="9"/>
  <c r="C8" i="9"/>
  <c r="N7" i="9"/>
  <c r="M7" i="9"/>
  <c r="L7" i="9"/>
  <c r="K7" i="9"/>
  <c r="J7" i="9"/>
  <c r="I7" i="9"/>
  <c r="H7" i="9"/>
  <c r="G7" i="9"/>
  <c r="F7" i="9"/>
  <c r="E7" i="9"/>
  <c r="D7" i="9"/>
  <c r="C7" i="9"/>
  <c r="N6" i="9"/>
  <c r="M6" i="9"/>
  <c r="L6" i="9"/>
  <c r="K6" i="9"/>
  <c r="J6" i="9"/>
  <c r="I6" i="9"/>
  <c r="H6" i="9"/>
  <c r="G6" i="9"/>
  <c r="F6" i="9"/>
  <c r="E6" i="9"/>
  <c r="D6" i="9"/>
  <c r="C6" i="9"/>
  <c r="B6" i="9"/>
  <c r="N5" i="9"/>
  <c r="M5" i="9"/>
  <c r="L5" i="9"/>
  <c r="L27" i="9" s="1"/>
  <c r="K5" i="9"/>
  <c r="J5" i="9"/>
  <c r="I5" i="9"/>
  <c r="H5" i="9"/>
  <c r="H27" i="9" s="1"/>
  <c r="G5" i="9"/>
  <c r="F5" i="9"/>
  <c r="E5" i="9"/>
  <c r="D5" i="9"/>
  <c r="C5" i="9"/>
  <c r="B5" i="9"/>
  <c r="N4" i="9"/>
  <c r="M4" i="9"/>
  <c r="M27" i="9" s="1"/>
  <c r="L4" i="9"/>
  <c r="K4" i="9"/>
  <c r="J4" i="9"/>
  <c r="I4" i="9"/>
  <c r="I27" i="9" s="1"/>
  <c r="H4" i="9"/>
  <c r="G4" i="9"/>
  <c r="F4" i="9"/>
  <c r="E4" i="9"/>
  <c r="E27" i="9" s="1"/>
  <c r="D4" i="9"/>
  <c r="C4" i="9"/>
  <c r="B4" i="9"/>
  <c r="N3" i="9"/>
  <c r="M3" i="9"/>
  <c r="L3" i="9"/>
  <c r="K3" i="9"/>
  <c r="J3" i="9"/>
  <c r="J27" i="9" s="1"/>
  <c r="I3" i="9"/>
  <c r="H3" i="9"/>
  <c r="G3" i="9"/>
  <c r="F3" i="9"/>
  <c r="F27" i="9" s="1"/>
  <c r="E3" i="9"/>
  <c r="D3" i="9"/>
  <c r="C3" i="9"/>
  <c r="B3" i="9"/>
  <c r="N2" i="9"/>
  <c r="M2" i="9"/>
  <c r="L2" i="9"/>
  <c r="K2" i="9"/>
  <c r="K27" i="9" s="1"/>
  <c r="J2" i="9"/>
  <c r="I2" i="9"/>
  <c r="H2" i="9"/>
  <c r="G2" i="9"/>
  <c r="G27" i="9" s="1"/>
  <c r="F2" i="9"/>
  <c r="E2" i="9"/>
  <c r="D2" i="9"/>
  <c r="C2" i="9"/>
  <c r="C27" i="9" s="1"/>
  <c r="B2" i="9"/>
  <c r="D27" i="9"/>
  <c r="N27" i="9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N9" i="8"/>
  <c r="M9" i="8"/>
  <c r="L9" i="8"/>
  <c r="K9" i="8"/>
  <c r="J9" i="8"/>
  <c r="I9" i="8"/>
  <c r="H9" i="8"/>
  <c r="G9" i="8"/>
  <c r="F9" i="8"/>
  <c r="E9" i="8"/>
  <c r="D9" i="8"/>
  <c r="C9" i="8"/>
  <c r="B9" i="8"/>
  <c r="N8" i="8"/>
  <c r="M8" i="8"/>
  <c r="L8" i="8"/>
  <c r="K8" i="8"/>
  <c r="J8" i="8"/>
  <c r="I8" i="8"/>
  <c r="H8" i="8"/>
  <c r="G8" i="8"/>
  <c r="F8" i="8"/>
  <c r="E8" i="8"/>
  <c r="D8" i="8"/>
  <c r="C8" i="8"/>
  <c r="B8" i="8"/>
  <c r="N7" i="8"/>
  <c r="M7" i="8"/>
  <c r="L7" i="8"/>
  <c r="K7" i="8"/>
  <c r="J7" i="8"/>
  <c r="I7" i="8"/>
  <c r="H7" i="8"/>
  <c r="G7" i="8"/>
  <c r="F7" i="8"/>
  <c r="E7" i="8"/>
  <c r="D7" i="8"/>
  <c r="C7" i="8"/>
  <c r="B7" i="8"/>
  <c r="N6" i="8"/>
  <c r="M6" i="8"/>
  <c r="L6" i="8"/>
  <c r="K6" i="8"/>
  <c r="J6" i="8"/>
  <c r="I6" i="8"/>
  <c r="H6" i="8"/>
  <c r="G6" i="8"/>
  <c r="F6" i="8"/>
  <c r="E6" i="8"/>
  <c r="D6" i="8"/>
  <c r="C6" i="8"/>
  <c r="B6" i="8"/>
  <c r="N5" i="8"/>
  <c r="M5" i="8"/>
  <c r="L5" i="8"/>
  <c r="K5" i="8"/>
  <c r="J5" i="8"/>
  <c r="I5" i="8"/>
  <c r="H5" i="8"/>
  <c r="G5" i="8"/>
  <c r="F5" i="8"/>
  <c r="E5" i="8"/>
  <c r="D5" i="8"/>
  <c r="C5" i="8"/>
  <c r="B5" i="8"/>
  <c r="N4" i="8"/>
  <c r="M4" i="8"/>
  <c r="L4" i="8"/>
  <c r="K4" i="8"/>
  <c r="J4" i="8"/>
  <c r="I4" i="8"/>
  <c r="H4" i="8"/>
  <c r="G4" i="8"/>
  <c r="F4" i="8"/>
  <c r="E4" i="8"/>
  <c r="D4" i="8"/>
  <c r="C4" i="8"/>
  <c r="B4" i="8"/>
  <c r="N3" i="8"/>
  <c r="M3" i="8"/>
  <c r="L3" i="8"/>
  <c r="K3" i="8"/>
  <c r="J3" i="8"/>
  <c r="I3" i="8"/>
  <c r="H3" i="8"/>
  <c r="G3" i="8"/>
  <c r="F3" i="8"/>
  <c r="E3" i="8"/>
  <c r="D3" i="8"/>
  <c r="C3" i="8"/>
  <c r="B3" i="8"/>
  <c r="N2" i="8"/>
  <c r="M2" i="8"/>
  <c r="L2" i="8"/>
  <c r="K2" i="8"/>
  <c r="J2" i="8"/>
  <c r="I2" i="8"/>
  <c r="H2" i="8"/>
  <c r="G2" i="8"/>
  <c r="F2" i="8"/>
  <c r="E2" i="8"/>
  <c r="D2" i="8"/>
  <c r="C2" i="8"/>
  <c r="B2" i="8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N9" i="7"/>
  <c r="M9" i="7"/>
  <c r="L9" i="7"/>
  <c r="K9" i="7"/>
  <c r="J9" i="7"/>
  <c r="I9" i="7"/>
  <c r="H9" i="7"/>
  <c r="G9" i="7"/>
  <c r="F9" i="7"/>
  <c r="E9" i="7"/>
  <c r="D9" i="7"/>
  <c r="C9" i="7"/>
  <c r="B9" i="7"/>
  <c r="N8" i="7"/>
  <c r="M8" i="7"/>
  <c r="L8" i="7"/>
  <c r="K8" i="7"/>
  <c r="J8" i="7"/>
  <c r="I8" i="7"/>
  <c r="H8" i="7"/>
  <c r="G8" i="7"/>
  <c r="F8" i="7"/>
  <c r="E8" i="7"/>
  <c r="D8" i="7"/>
  <c r="C8" i="7"/>
  <c r="B8" i="7"/>
  <c r="N7" i="7"/>
  <c r="M7" i="7"/>
  <c r="L7" i="7"/>
  <c r="K7" i="7"/>
  <c r="J7" i="7"/>
  <c r="I7" i="7"/>
  <c r="H7" i="7"/>
  <c r="G7" i="7"/>
  <c r="F7" i="7"/>
  <c r="E7" i="7"/>
  <c r="D7" i="7"/>
  <c r="C7" i="7"/>
  <c r="B7" i="7"/>
  <c r="N6" i="7"/>
  <c r="M6" i="7"/>
  <c r="L6" i="7"/>
  <c r="K6" i="7"/>
  <c r="J6" i="7"/>
  <c r="I6" i="7"/>
  <c r="H6" i="7"/>
  <c r="G6" i="7"/>
  <c r="F6" i="7"/>
  <c r="E6" i="7"/>
  <c r="D6" i="7"/>
  <c r="C6" i="7"/>
  <c r="B6" i="7"/>
  <c r="N5" i="7"/>
  <c r="M5" i="7"/>
  <c r="L5" i="7"/>
  <c r="K5" i="7"/>
  <c r="J5" i="7"/>
  <c r="I5" i="7"/>
  <c r="H5" i="7"/>
  <c r="G5" i="7"/>
  <c r="F5" i="7"/>
  <c r="E5" i="7"/>
  <c r="D5" i="7"/>
  <c r="C5" i="7"/>
  <c r="B5" i="7"/>
  <c r="N4" i="7"/>
  <c r="M4" i="7"/>
  <c r="L4" i="7"/>
  <c r="K4" i="7"/>
  <c r="J4" i="7"/>
  <c r="I4" i="7"/>
  <c r="H4" i="7"/>
  <c r="G4" i="7"/>
  <c r="F4" i="7"/>
  <c r="E4" i="7"/>
  <c r="D4" i="7"/>
  <c r="C4" i="7"/>
  <c r="B4" i="7"/>
  <c r="N3" i="7"/>
  <c r="M3" i="7"/>
  <c r="L3" i="7"/>
  <c r="K3" i="7"/>
  <c r="J3" i="7"/>
  <c r="I3" i="7"/>
  <c r="H3" i="7"/>
  <c r="G3" i="7"/>
  <c r="F3" i="7"/>
  <c r="E3" i="7"/>
  <c r="D3" i="7"/>
  <c r="C3" i="7"/>
  <c r="B3" i="7"/>
  <c r="N2" i="7"/>
  <c r="M2" i="7"/>
  <c r="L2" i="7"/>
  <c r="K2" i="7"/>
  <c r="J2" i="7"/>
  <c r="I2" i="7"/>
  <c r="H2" i="7"/>
  <c r="G2" i="7"/>
  <c r="F2" i="7"/>
  <c r="E2" i="7"/>
  <c r="D2" i="7"/>
  <c r="C2" i="7"/>
  <c r="B2" i="7"/>
  <c r="B15" i="6"/>
  <c r="B14" i="6"/>
  <c r="B13" i="6"/>
  <c r="B11" i="6"/>
  <c r="B10" i="6"/>
  <c r="B9" i="6"/>
  <c r="B6" i="6"/>
  <c r="B5" i="6"/>
  <c r="B4" i="6"/>
  <c r="B3" i="6"/>
  <c r="B2" i="6"/>
  <c r="N26" i="6"/>
  <c r="M26" i="6"/>
  <c r="L26" i="6"/>
  <c r="K26" i="6"/>
  <c r="J26" i="6"/>
  <c r="I26" i="6"/>
  <c r="H26" i="6"/>
  <c r="G26" i="6"/>
  <c r="F26" i="6"/>
  <c r="E26" i="6"/>
  <c r="D26" i="6"/>
  <c r="C26" i="6"/>
  <c r="N25" i="6"/>
  <c r="M25" i="6"/>
  <c r="L25" i="6"/>
  <c r="K25" i="6"/>
  <c r="J25" i="6"/>
  <c r="I25" i="6"/>
  <c r="H25" i="6"/>
  <c r="G25" i="6"/>
  <c r="F25" i="6"/>
  <c r="E25" i="6"/>
  <c r="D25" i="6"/>
  <c r="C25" i="6"/>
  <c r="N24" i="6"/>
  <c r="M24" i="6"/>
  <c r="L24" i="6"/>
  <c r="K24" i="6"/>
  <c r="J24" i="6"/>
  <c r="I24" i="6"/>
  <c r="H24" i="6"/>
  <c r="G24" i="6"/>
  <c r="F24" i="6"/>
  <c r="E24" i="6"/>
  <c r="D24" i="6"/>
  <c r="C24" i="6"/>
  <c r="N23" i="6"/>
  <c r="M23" i="6"/>
  <c r="L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H22" i="6"/>
  <c r="G22" i="6"/>
  <c r="F22" i="6"/>
  <c r="E22" i="6"/>
  <c r="D22" i="6"/>
  <c r="C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N14" i="6"/>
  <c r="M14" i="6"/>
  <c r="L14" i="6"/>
  <c r="K14" i="6"/>
  <c r="J14" i="6"/>
  <c r="I14" i="6"/>
  <c r="H14" i="6"/>
  <c r="G14" i="6"/>
  <c r="F14" i="6"/>
  <c r="E14" i="6"/>
  <c r="D14" i="6"/>
  <c r="C14" i="6"/>
  <c r="N13" i="6"/>
  <c r="M13" i="6"/>
  <c r="L13" i="6"/>
  <c r="K13" i="6"/>
  <c r="J13" i="6"/>
  <c r="I13" i="6"/>
  <c r="H13" i="6"/>
  <c r="G13" i="6"/>
  <c r="F13" i="6"/>
  <c r="E13" i="6"/>
  <c r="D13" i="6"/>
  <c r="C13" i="6"/>
  <c r="N12" i="6"/>
  <c r="M12" i="6"/>
  <c r="L12" i="6"/>
  <c r="K12" i="6"/>
  <c r="J12" i="6"/>
  <c r="I12" i="6"/>
  <c r="H12" i="6"/>
  <c r="G12" i="6"/>
  <c r="F12" i="6"/>
  <c r="E12" i="6"/>
  <c r="D12" i="6"/>
  <c r="C12" i="6"/>
  <c r="N11" i="6"/>
  <c r="M11" i="6"/>
  <c r="L11" i="6"/>
  <c r="K11" i="6"/>
  <c r="J11" i="6"/>
  <c r="I11" i="6"/>
  <c r="H11" i="6"/>
  <c r="G11" i="6"/>
  <c r="F11" i="6"/>
  <c r="E11" i="6"/>
  <c r="D11" i="6"/>
  <c r="C11" i="6"/>
  <c r="N10" i="6"/>
  <c r="M10" i="6"/>
  <c r="L10" i="6"/>
  <c r="K10" i="6"/>
  <c r="J10" i="6"/>
  <c r="I10" i="6"/>
  <c r="H10" i="6"/>
  <c r="G10" i="6"/>
  <c r="F10" i="6"/>
  <c r="E10" i="6"/>
  <c r="D10" i="6"/>
  <c r="C10" i="6"/>
  <c r="N9" i="6"/>
  <c r="M9" i="6"/>
  <c r="L9" i="6"/>
  <c r="K9" i="6"/>
  <c r="J9" i="6"/>
  <c r="I9" i="6"/>
  <c r="H9" i="6"/>
  <c r="G9" i="6"/>
  <c r="F9" i="6"/>
  <c r="E9" i="6"/>
  <c r="D9" i="6"/>
  <c r="C9" i="6"/>
  <c r="N8" i="6"/>
  <c r="M8" i="6"/>
  <c r="L8" i="6"/>
  <c r="K8" i="6"/>
  <c r="J8" i="6"/>
  <c r="I8" i="6"/>
  <c r="H8" i="6"/>
  <c r="G8" i="6"/>
  <c r="F8" i="6"/>
  <c r="E8" i="6"/>
  <c r="D8" i="6"/>
  <c r="C8" i="6"/>
  <c r="N7" i="6"/>
  <c r="M7" i="6"/>
  <c r="L7" i="6"/>
  <c r="K7" i="6"/>
  <c r="J7" i="6"/>
  <c r="I7" i="6"/>
  <c r="H7" i="6"/>
  <c r="G7" i="6"/>
  <c r="F7" i="6"/>
  <c r="E7" i="6"/>
  <c r="D7" i="6"/>
  <c r="C7" i="6"/>
  <c r="N6" i="6"/>
  <c r="M6" i="6"/>
  <c r="L6" i="6"/>
  <c r="K6" i="6"/>
  <c r="J6" i="6"/>
  <c r="I6" i="6"/>
  <c r="H6" i="6"/>
  <c r="G6" i="6"/>
  <c r="F6" i="6"/>
  <c r="E6" i="6"/>
  <c r="D6" i="6"/>
  <c r="C6" i="6"/>
  <c r="N5" i="6"/>
  <c r="M5" i="6"/>
  <c r="L5" i="6"/>
  <c r="K5" i="6"/>
  <c r="J5" i="6"/>
  <c r="I5" i="6"/>
  <c r="H5" i="6"/>
  <c r="G5" i="6"/>
  <c r="F5" i="6"/>
  <c r="E5" i="6"/>
  <c r="D5" i="6"/>
  <c r="C5" i="6"/>
  <c r="N4" i="6"/>
  <c r="M4" i="6"/>
  <c r="L4" i="6"/>
  <c r="K4" i="6"/>
  <c r="J4" i="6"/>
  <c r="I4" i="6"/>
  <c r="H4" i="6"/>
  <c r="G4" i="6"/>
  <c r="F4" i="6"/>
  <c r="E4" i="6"/>
  <c r="D4" i="6"/>
  <c r="C4" i="6"/>
  <c r="N3" i="6"/>
  <c r="M3" i="6"/>
  <c r="L3" i="6"/>
  <c r="K3" i="6"/>
  <c r="J3" i="6"/>
  <c r="I3" i="6"/>
  <c r="H3" i="6"/>
  <c r="G3" i="6"/>
  <c r="F3" i="6"/>
  <c r="E3" i="6"/>
  <c r="D3" i="6"/>
  <c r="C3" i="6"/>
  <c r="N2" i="6"/>
  <c r="M2" i="6"/>
  <c r="L2" i="6"/>
  <c r="K2" i="6"/>
  <c r="J2" i="6"/>
  <c r="I2" i="6"/>
  <c r="H2" i="6"/>
  <c r="G2" i="6"/>
  <c r="F2" i="6"/>
  <c r="E2" i="6"/>
  <c r="D2" i="6"/>
  <c r="C2" i="6"/>
  <c r="N27" i="6"/>
  <c r="M27" i="6"/>
  <c r="L27" i="6"/>
  <c r="K27" i="6"/>
  <c r="J27" i="6"/>
  <c r="I27" i="6"/>
  <c r="H27" i="6"/>
  <c r="G27" i="6"/>
  <c r="F27" i="6"/>
  <c r="E27" i="6"/>
  <c r="D27" i="6"/>
  <c r="C27" i="6"/>
  <c r="E27" i="2"/>
  <c r="E24" i="2"/>
  <c r="E25" i="2" s="1"/>
  <c r="D24" i="2"/>
  <c r="D21" i="2"/>
  <c r="E21" i="2" s="1"/>
  <c r="B22" i="2"/>
  <c r="D22" i="2" s="1"/>
  <c r="B25" i="2"/>
  <c r="B26" i="2" s="1"/>
  <c r="H15" i="2"/>
  <c r="F13" i="2"/>
  <c r="E13" i="2"/>
  <c r="G13" i="2" s="1"/>
  <c r="H13" i="2" s="1"/>
  <c r="G11" i="2"/>
  <c r="H11" i="2" s="1"/>
  <c r="G10" i="2"/>
  <c r="H10" i="2" s="1"/>
  <c r="G9" i="2"/>
  <c r="H9" i="2" s="1"/>
  <c r="G5" i="2"/>
  <c r="H5" i="2" s="1"/>
  <c r="G4" i="2"/>
  <c r="H4" i="2" s="1"/>
  <c r="G3" i="2"/>
  <c r="H3" i="2" s="1"/>
  <c r="H2" i="2"/>
  <c r="G2" i="2"/>
  <c r="F11" i="2"/>
  <c r="F10" i="2"/>
  <c r="F9" i="2"/>
  <c r="F5" i="2"/>
  <c r="F4" i="2"/>
  <c r="F3" i="2"/>
  <c r="F2" i="2"/>
  <c r="E11" i="2"/>
  <c r="E10" i="2"/>
  <c r="E9" i="2"/>
  <c r="E5" i="2"/>
  <c r="E4" i="2"/>
  <c r="E3" i="2"/>
  <c r="E2" i="2"/>
  <c r="E14" i="4"/>
  <c r="D14" i="4"/>
  <c r="F14" i="4" s="1"/>
  <c r="G14" i="4" s="1"/>
  <c r="E13" i="4"/>
  <c r="D13" i="4"/>
  <c r="F13" i="4" s="1"/>
  <c r="G13" i="4" s="1"/>
  <c r="E12" i="4"/>
  <c r="D12" i="4"/>
  <c r="F12" i="4" s="1"/>
  <c r="E11" i="4"/>
  <c r="D11" i="4"/>
  <c r="F11" i="4" s="1"/>
  <c r="E10" i="4"/>
  <c r="D10" i="4"/>
  <c r="F10" i="4" s="1"/>
  <c r="G10" i="4" s="1"/>
  <c r="F6" i="4"/>
  <c r="G6" i="4" s="1"/>
  <c r="F5" i="4"/>
  <c r="G5" i="4" s="1"/>
  <c r="F4" i="4"/>
  <c r="G4" i="4" s="1"/>
  <c r="F3" i="4"/>
  <c r="G3" i="4" s="1"/>
  <c r="G2" i="4"/>
  <c r="G7" i="4" s="1"/>
  <c r="H7" i="2" s="1"/>
  <c r="F2" i="4"/>
  <c r="E6" i="4"/>
  <c r="E5" i="4"/>
  <c r="E4" i="4"/>
  <c r="E3" i="4"/>
  <c r="E2" i="4"/>
  <c r="D6" i="4"/>
  <c r="D5" i="4"/>
  <c r="D4" i="4"/>
  <c r="D3" i="4"/>
  <c r="D2" i="4"/>
  <c r="C14" i="4"/>
  <c r="C13" i="4"/>
  <c r="C12" i="4"/>
  <c r="C11" i="4"/>
  <c r="C10" i="4"/>
  <c r="C6" i="4"/>
  <c r="C5" i="4"/>
  <c r="C4" i="4"/>
  <c r="C3" i="4"/>
  <c r="C2" i="4"/>
  <c r="B14" i="4"/>
  <c r="B13" i="4"/>
  <c r="B12" i="4"/>
  <c r="B11" i="4"/>
  <c r="B10" i="4"/>
  <c r="B2" i="4"/>
  <c r="B7" i="4" s="1"/>
  <c r="M27" i="21" l="1"/>
  <c r="R27" i="21" s="1"/>
  <c r="M31" i="21"/>
  <c r="R31" i="21" s="1"/>
  <c r="M35" i="21"/>
  <c r="M29" i="21"/>
  <c r="M33" i="21"/>
  <c r="S33" i="21"/>
  <c r="S27" i="21"/>
  <c r="S31" i="21"/>
  <c r="S35" i="21"/>
  <c r="S28" i="21"/>
  <c r="S32" i="21"/>
  <c r="C13" i="21"/>
  <c r="C46" i="21" s="1"/>
  <c r="R29" i="21"/>
  <c r="R33" i="21"/>
  <c r="Q26" i="21"/>
  <c r="S30" i="21"/>
  <c r="S34" i="21"/>
  <c r="B7" i="6"/>
  <c r="O17" i="14"/>
  <c r="O28" i="14" s="1"/>
  <c r="G12" i="4"/>
  <c r="G11" i="12"/>
  <c r="B15" i="4"/>
  <c r="B17" i="4" s="1"/>
  <c r="C2" i="5" s="1"/>
  <c r="G11" i="4"/>
  <c r="G15" i="4" s="1"/>
  <c r="G13" i="12"/>
  <c r="G15" i="12"/>
  <c r="G19" i="12"/>
  <c r="G21" i="12"/>
  <c r="G22" i="12"/>
  <c r="R30" i="21"/>
  <c r="R34" i="21"/>
  <c r="R35" i="21"/>
  <c r="R28" i="21"/>
  <c r="R32" i="21"/>
  <c r="C28" i="16"/>
  <c r="E32" i="14"/>
  <c r="F20" i="12"/>
  <c r="G20" i="12" s="1"/>
  <c r="F14" i="12"/>
  <c r="G14" i="12" s="1"/>
  <c r="B16" i="12"/>
  <c r="B24" i="12"/>
  <c r="B26" i="12"/>
  <c r="B28" i="12" s="1"/>
  <c r="C2" i="13" s="1"/>
  <c r="F4" i="12"/>
  <c r="G4" i="12" s="1"/>
  <c r="F5" i="12"/>
  <c r="G5" i="12" s="1"/>
  <c r="G2" i="12"/>
  <c r="E22" i="2"/>
  <c r="D23" i="2"/>
  <c r="E23" i="2" s="1"/>
  <c r="E26" i="2"/>
  <c r="E29" i="2" s="1"/>
  <c r="F29" i="2" s="1"/>
  <c r="B23" i="2"/>
  <c r="B29" i="2" s="1"/>
  <c r="G17" i="4" l="1"/>
  <c r="B2" i="5" s="1"/>
  <c r="D2" i="5" s="1"/>
  <c r="F2" i="5" s="1"/>
  <c r="H8" i="2"/>
  <c r="G8" i="12"/>
  <c r="B6" i="22"/>
  <c r="G24" i="12"/>
  <c r="B7" i="9"/>
  <c r="G16" i="12"/>
  <c r="G26" i="12" s="1"/>
  <c r="G28" i="12" l="1"/>
  <c r="B2" i="13" s="1"/>
  <c r="D2" i="13" s="1"/>
  <c r="F2" i="13" s="1"/>
  <c r="E9" i="14"/>
  <c r="E9" i="11"/>
  <c r="F6" i="22"/>
  <c r="B7" i="22"/>
  <c r="D8" i="14"/>
  <c r="D8" i="17"/>
  <c r="D8" i="11"/>
  <c r="B7" i="10"/>
  <c r="E8" i="14"/>
  <c r="E8" i="11"/>
  <c r="B8" i="6"/>
  <c r="H16" i="2"/>
  <c r="B16" i="6" s="1"/>
  <c r="B16" i="9" s="1"/>
  <c r="B5" i="13"/>
  <c r="G5" i="13" s="1"/>
  <c r="H12" i="2"/>
  <c r="B12" i="6" s="1"/>
  <c r="B12" i="9" s="1"/>
  <c r="D17" i="11" l="1"/>
  <c r="E17" i="11" s="1"/>
  <c r="D17" i="17"/>
  <c r="D17" i="14"/>
  <c r="E17" i="14" s="1"/>
  <c r="B16" i="10"/>
  <c r="F8" i="14"/>
  <c r="N8" i="14"/>
  <c r="D13" i="11"/>
  <c r="D13" i="17"/>
  <c r="D30" i="18" s="1"/>
  <c r="D13" i="14"/>
  <c r="B12" i="10"/>
  <c r="H17" i="2"/>
  <c r="B8" i="9"/>
  <c r="B27" i="6"/>
  <c r="N9" i="14"/>
  <c r="P9" i="14" s="1"/>
  <c r="F7" i="22"/>
  <c r="E13" i="11"/>
  <c r="E28" i="11" s="1"/>
  <c r="E13" i="14"/>
  <c r="G7" i="13"/>
  <c r="G6" i="13" s="1"/>
  <c r="D11" i="2"/>
  <c r="D10" i="2"/>
  <c r="D9" i="2"/>
  <c r="D5" i="2"/>
  <c r="D4" i="2"/>
  <c r="D3" i="2"/>
  <c r="D2" i="2"/>
  <c r="B17" i="2"/>
  <c r="D9" i="11" l="1"/>
  <c r="D28" i="11" s="1"/>
  <c r="D9" i="17"/>
  <c r="B8" i="10"/>
  <c r="B27" i="10" s="1"/>
  <c r="D9" i="14"/>
  <c r="B27" i="9"/>
  <c r="C9" i="17"/>
  <c r="K6" i="22" s="1"/>
  <c r="D9" i="16"/>
  <c r="E9" i="16" s="1"/>
  <c r="G9" i="16" s="1"/>
  <c r="C17" i="23"/>
  <c r="D31" i="18"/>
  <c r="D33" i="18" s="1"/>
  <c r="B10" i="23"/>
  <c r="P8" i="14"/>
  <c r="N17" i="14"/>
  <c r="P17" i="14" s="1"/>
  <c r="F17" i="14"/>
  <c r="N13" i="14"/>
  <c r="P13" i="14" s="1"/>
  <c r="F13" i="14"/>
  <c r="E28" i="14"/>
  <c r="F10" i="20"/>
  <c r="D35" i="18"/>
  <c r="M8" i="14"/>
  <c r="C27" i="1"/>
  <c r="B27" i="1"/>
  <c r="L13" i="14" l="1"/>
  <c r="M13" i="14"/>
  <c r="D28" i="14"/>
  <c r="F9" i="14"/>
  <c r="C13" i="17"/>
  <c r="C30" i="18" s="1"/>
  <c r="D13" i="16"/>
  <c r="E13" i="16" s="1"/>
  <c r="G13" i="16" s="1"/>
  <c r="C8" i="17"/>
  <c r="D8" i="16"/>
  <c r="G28" i="16"/>
  <c r="G10" i="20"/>
  <c r="H10" i="20" s="1"/>
  <c r="K7" i="22"/>
  <c r="L6" i="22"/>
  <c r="L7" i="22" s="1"/>
  <c r="H6" i="22"/>
  <c r="D16" i="18"/>
  <c r="D17" i="18" s="1"/>
  <c r="D19" i="18" s="1"/>
  <c r="D28" i="17"/>
  <c r="C17" i="17"/>
  <c r="D17" i="16"/>
  <c r="E17" i="16" s="1"/>
  <c r="F17" i="16" s="1"/>
  <c r="D37" i="18"/>
  <c r="D27" i="1"/>
  <c r="H7" i="22" l="1"/>
  <c r="M6" i="22"/>
  <c r="M7" i="22" s="1"/>
  <c r="E8" i="16"/>
  <c r="J9" i="14"/>
  <c r="M9" i="14"/>
  <c r="M28" i="14" s="1"/>
  <c r="F28" i="14"/>
  <c r="C16" i="18"/>
  <c r="C17" i="18" s="1"/>
  <c r="C19" i="18" s="1"/>
  <c r="D38" i="18"/>
  <c r="J6" i="22"/>
  <c r="J7" i="22" s="1"/>
  <c r="B12" i="23"/>
  <c r="B11" i="23" s="1"/>
  <c r="B5" i="23" s="1"/>
  <c r="B17" i="23"/>
  <c r="C31" i="18"/>
  <c r="C33" i="18" s="1"/>
  <c r="L28" i="14"/>
  <c r="L25" i="14"/>
  <c r="N25" i="14" s="1"/>
  <c r="P25" i="14" s="1"/>
  <c r="E27" i="1"/>
  <c r="F27" i="1"/>
  <c r="F8" i="16" l="1"/>
  <c r="J21" i="14"/>
  <c r="N21" i="14" s="1"/>
  <c r="C25" i="17"/>
  <c r="C26" i="19" s="1"/>
  <c r="D25" i="16"/>
  <c r="E25" i="16" s="1"/>
  <c r="F25" i="16" s="1"/>
  <c r="G27" i="1"/>
  <c r="B6" i="23" l="1"/>
  <c r="P21" i="14"/>
  <c r="N28" i="14"/>
  <c r="J28" i="14"/>
  <c r="H27" i="1"/>
  <c r="C21" i="17" l="1"/>
  <c r="D21" i="16"/>
  <c r="P28" i="14"/>
  <c r="B25" i="23"/>
  <c r="B4" i="23"/>
  <c r="I27" i="1"/>
  <c r="E21" i="16" l="1"/>
  <c r="D28" i="16"/>
  <c r="C13" i="19"/>
  <c r="C24" i="19" s="1"/>
  <c r="C35" i="18"/>
  <c r="C37" i="18" s="1"/>
  <c r="C38" i="18" s="1"/>
  <c r="C28" i="17"/>
  <c r="J27" i="1"/>
  <c r="F21" i="16" l="1"/>
  <c r="F28" i="16" s="1"/>
  <c r="E28" i="16"/>
  <c r="C28" i="19"/>
  <c r="B22" i="23"/>
  <c r="B23" i="23" s="1"/>
  <c r="B24" i="23" s="1"/>
  <c r="K27" i="1"/>
  <c r="F16" i="20" l="1"/>
  <c r="L27" i="1"/>
  <c r="G16" i="20" l="1"/>
  <c r="H16" i="20" s="1"/>
  <c r="F18" i="20"/>
  <c r="N27" i="1"/>
  <c r="M27" i="1"/>
  <c r="G18" i="20" l="1"/>
  <c r="H18" i="20" s="1"/>
  <c r="H19" i="20" s="1"/>
  <c r="F19" i="20"/>
</calcChain>
</file>

<file path=xl/sharedStrings.xml><?xml version="1.0" encoding="utf-8"?>
<sst xmlns="http://schemas.openxmlformats.org/spreadsheetml/2006/main" count="631" uniqueCount="191">
  <si>
    <t>Descripción</t>
  </si>
  <si>
    <t>Caja &amp; bancos - Moneda  local</t>
  </si>
  <si>
    <t>Caja &amp; bancos - Moneda extranjera</t>
  </si>
  <si>
    <t>Créditos por ventas</t>
  </si>
  <si>
    <t>Bienes de cambio</t>
  </si>
  <si>
    <t>Compras</t>
  </si>
  <si>
    <t>Bienes de uso - costo de origen</t>
  </si>
  <si>
    <t>Bienes de uso - depreciación acumulada</t>
  </si>
  <si>
    <t>Cuentas comerciales por pagar</t>
  </si>
  <si>
    <t>Pasivos financieros</t>
  </si>
  <si>
    <t>Impuesto a las ganancias a pagar</t>
  </si>
  <si>
    <t>Pasivo por impuesto diferido</t>
  </si>
  <si>
    <t>Capital</t>
  </si>
  <si>
    <t>Ajuste de capital</t>
  </si>
  <si>
    <t>Reserva legal</t>
  </si>
  <si>
    <t>Resultados acumulados</t>
  </si>
  <si>
    <t>Ventas</t>
  </si>
  <si>
    <t>Costo de ventas</t>
  </si>
  <si>
    <t>Costos operativos</t>
  </si>
  <si>
    <t>Depreciación del ejercicio</t>
  </si>
  <si>
    <t>Diferencias de cotización - moneda extranjera</t>
  </si>
  <si>
    <t>Resultado de tenencia - Bienes de cambio</t>
  </si>
  <si>
    <t>Costos financieros</t>
  </si>
  <si>
    <t>Impuesto a las ganancias</t>
  </si>
  <si>
    <t>Control</t>
  </si>
  <si>
    <t>RECPAM - ACTIVOS</t>
  </si>
  <si>
    <t>RECPAM - PASIVOS</t>
  </si>
  <si>
    <t>Clasif.</t>
  </si>
  <si>
    <t>Cierre</t>
  </si>
  <si>
    <t>Anterior</t>
  </si>
  <si>
    <t xml:space="preserve">RESOLUCIÓN TÉCNICA N° 6  
"ESTADOS CONTABLES EN MONEDA HOMOGENEA" 
ÍNDICE DEFINIDO POR LA RESOLUCIÓN DE JG 539/18                    
</t>
  </si>
  <si>
    <t>MES</t>
  </si>
  <si>
    <t>IPC NACIONAL EMPALME IPIM</t>
  </si>
  <si>
    <t>Indice Cierre</t>
  </si>
  <si>
    <t>Antic.</t>
  </si>
  <si>
    <t>Indice Origen</t>
  </si>
  <si>
    <t>Coeficiente</t>
  </si>
  <si>
    <t>$.dic-17</t>
  </si>
  <si>
    <t>Costo origen</t>
  </si>
  <si>
    <t>$.Hist.</t>
  </si>
  <si>
    <t>Total</t>
  </si>
  <si>
    <t>Dep. Acum</t>
  </si>
  <si>
    <t>Importe neto</t>
  </si>
  <si>
    <t>S/ AUX-BU</t>
  </si>
  <si>
    <t>S/ AUX-PID</t>
  </si>
  <si>
    <t>Base contable</t>
  </si>
  <si>
    <t>Base fiscal</t>
  </si>
  <si>
    <t>DT</t>
  </si>
  <si>
    <t>BU</t>
  </si>
  <si>
    <t>Alícuota</t>
  </si>
  <si>
    <t>(pasivo) activo ID</t>
  </si>
  <si>
    <t>Referencias</t>
  </si>
  <si>
    <r>
      <t xml:space="preserve">G.A.#1 FACPCE </t>
    </r>
    <r>
      <rPr>
        <sz val="10"/>
        <color rgb="FFFF0000"/>
        <rFont val="Arial"/>
        <family val="2"/>
      </rPr>
      <t>¶</t>
    </r>
    <r>
      <rPr>
        <sz val="10"/>
        <color rgb="FFFF0000"/>
        <rFont val="Tahoma"/>
        <family val="2"/>
      </rPr>
      <t>16</t>
    </r>
  </si>
  <si>
    <t xml:space="preserve">Costo </t>
  </si>
  <si>
    <t>Gasto depreciación</t>
  </si>
  <si>
    <t>VR</t>
  </si>
  <si>
    <t>Saldo revaluación</t>
  </si>
  <si>
    <t xml:space="preserve">Saldos de revaluación </t>
  </si>
  <si>
    <t>PN</t>
  </si>
  <si>
    <t>$.Cierre</t>
  </si>
  <si>
    <t>$.Cierre (2)</t>
  </si>
  <si>
    <t>Clasific.</t>
  </si>
  <si>
    <t>$.dic-18 (T)</t>
  </si>
  <si>
    <t>$.dic-18 (R)</t>
  </si>
  <si>
    <t>Dep. Ej</t>
  </si>
  <si>
    <t>Deprec. Acum.</t>
  </si>
  <si>
    <t>$.dic-18</t>
  </si>
  <si>
    <t>Al inicio</t>
  </si>
  <si>
    <t>Al cierre</t>
  </si>
  <si>
    <t>Aumento PID</t>
  </si>
  <si>
    <t>Existencia inicial</t>
  </si>
  <si>
    <t>Existencia final</t>
  </si>
  <si>
    <t>Variación</t>
  </si>
  <si>
    <t>RECPAM_ACT</t>
  </si>
  <si>
    <t>RECPAM_PAS</t>
  </si>
  <si>
    <t>DIF_Cbio</t>
  </si>
  <si>
    <t>Gasto_Dep.</t>
  </si>
  <si>
    <t>Gasto_ID</t>
  </si>
  <si>
    <t>Costo_financ.</t>
  </si>
  <si>
    <t>Asiento</t>
  </si>
  <si>
    <t>DEBE</t>
  </si>
  <si>
    <t>HABER</t>
  </si>
  <si>
    <t>ESTADO DE SITUACIÓN PATRIMONIAL</t>
  </si>
  <si>
    <t>ROSARIO S.A.</t>
  </si>
  <si>
    <t>Correspondiente al ejercicio finalizado el 31 de diciembre de 2018</t>
  </si>
  <si>
    <t>Presentado de forma comparativa (ver nota ______)</t>
  </si>
  <si>
    <t>Expresado en miles de pesos de poder adquisitivo de diciembre de 2018 (ver nota ______)</t>
  </si>
  <si>
    <t>ACTIVO</t>
  </si>
  <si>
    <t>ACTIVO CORRIENTE</t>
  </si>
  <si>
    <t>Caja y bancos</t>
  </si>
  <si>
    <t>TOTAL DEL ACTIVO CORRIENTE</t>
  </si>
  <si>
    <t>ACTIVO NO CORRIENTE</t>
  </si>
  <si>
    <t>Bienes de uso</t>
  </si>
  <si>
    <t>TOTAL DEL ACTIVO NO CORRIENTE</t>
  </si>
  <si>
    <t>ACTIVO TOTAL</t>
  </si>
  <si>
    <t>PASIVO</t>
  </si>
  <si>
    <t>PASIVO CORRIENTE</t>
  </si>
  <si>
    <t>Deudas comerciales</t>
  </si>
  <si>
    <t>TIR</t>
  </si>
  <si>
    <t>C. Financ.</t>
  </si>
  <si>
    <t>Pagos</t>
  </si>
  <si>
    <t>Al final</t>
  </si>
  <si>
    <t>Cte</t>
  </si>
  <si>
    <t>No cte</t>
  </si>
  <si>
    <t>Deudas financieras</t>
  </si>
  <si>
    <t>TOTAL DEL PASIVO CORRIENTE</t>
  </si>
  <si>
    <t>PASIVO NO CORRIENTE</t>
  </si>
  <si>
    <t>Deudas fiscales</t>
  </si>
  <si>
    <t>TOTAL DEL PASIVO NO CORRIENTE</t>
  </si>
  <si>
    <t>PASIVO TOTAL</t>
  </si>
  <si>
    <t>PATRIMONIO NETO (según estado respectivo)</t>
  </si>
  <si>
    <t>PASIVO Y PATRIMONIO NETO TOTALES</t>
  </si>
  <si>
    <t>Nota</t>
  </si>
  <si>
    <t>Presentado en una columna (ver nota ______)</t>
  </si>
  <si>
    <t>Ganancia buta</t>
  </si>
  <si>
    <t>Gastos operativos</t>
  </si>
  <si>
    <t>Resultados financieros y por tenencia</t>
  </si>
  <si>
    <t xml:space="preserve">  * Diferencias de cambio</t>
  </si>
  <si>
    <t xml:space="preserve">  * Resultado por tenencia de bienes de cambio</t>
  </si>
  <si>
    <t xml:space="preserve">  * RECPAM </t>
  </si>
  <si>
    <t xml:space="preserve">  * Costos financieros</t>
  </si>
  <si>
    <t>Ganancia (pérdida) antes del impuesto a las ganancias</t>
  </si>
  <si>
    <t>Ganancia (pérdida) neta del ejercicio</t>
  </si>
  <si>
    <r>
      <rPr>
        <sz val="11"/>
        <color theme="1"/>
        <rFont val="Arial"/>
        <family val="2"/>
      </rPr>
      <t xml:space="preserve">  </t>
    </r>
    <r>
      <rPr>
        <u/>
        <sz val="11"/>
        <color theme="1"/>
        <rFont val="Arial"/>
        <family val="2"/>
      </rPr>
      <t>Generados por activos</t>
    </r>
  </si>
  <si>
    <r>
      <rPr>
        <sz val="11"/>
        <color theme="1"/>
        <rFont val="Arial"/>
        <family val="2"/>
      </rPr>
      <t xml:space="preserve">  </t>
    </r>
    <r>
      <rPr>
        <u/>
        <sz val="11"/>
        <color theme="1"/>
        <rFont val="Arial"/>
        <family val="2"/>
      </rPr>
      <t>Generados por pasivos</t>
    </r>
  </si>
  <si>
    <t>ESTADO DE EVOLUCIÓN DEL PATRIMONIO NETO</t>
  </si>
  <si>
    <t>ESTADO DE RESULTADOS</t>
  </si>
  <si>
    <t>Saldos al 1° de enero de 2018</t>
  </si>
  <si>
    <t>Decisiones de la asamblea general ordinaria</t>
  </si>
  <si>
    <t xml:space="preserve">  * Constitución de reserva legal</t>
  </si>
  <si>
    <t>Resultado del ejercicio</t>
  </si>
  <si>
    <t>Saldos al 31 de diciembre de 2018</t>
  </si>
  <si>
    <t>Ajuste de</t>
  </si>
  <si>
    <t xml:space="preserve">Total de </t>
  </si>
  <si>
    <t>aportes</t>
  </si>
  <si>
    <t>Reserva</t>
  </si>
  <si>
    <t>Resultados</t>
  </si>
  <si>
    <t>No asignados</t>
  </si>
  <si>
    <t>Total de</t>
  </si>
  <si>
    <t>Patrimonio</t>
  </si>
  <si>
    <t>Legal</t>
  </si>
  <si>
    <t xml:space="preserve">  * Dividendo en efectivo</t>
  </si>
  <si>
    <t>ESTADO DE FLUJOS DE EFECTIVO</t>
  </si>
  <si>
    <t>Intereses</t>
  </si>
  <si>
    <t>Subtotal</t>
  </si>
  <si>
    <t>Ajustes para llegar al flujo de efectivo de las actividades de operación</t>
  </si>
  <si>
    <t>Variación del monto</t>
  </si>
  <si>
    <t>Efectivo y equivalentes al inicio del ejercicio</t>
  </si>
  <si>
    <t>Efectivo y equivalentes al cierre del ejercicio</t>
  </si>
  <si>
    <t>Variación neta del efectivo</t>
  </si>
  <si>
    <t>Causas de las variaciones</t>
  </si>
  <si>
    <t>Actividades de operación</t>
  </si>
  <si>
    <t>RECPAM</t>
  </si>
  <si>
    <t>Actividades de inversión</t>
  </si>
  <si>
    <t>Pago por compra de bienes de uso</t>
  </si>
  <si>
    <t>Flujo neto de efectivo por las actividades de inversión</t>
  </si>
  <si>
    <t>Actividades de financiación</t>
  </si>
  <si>
    <t>Aumento por préstamos tomados</t>
  </si>
  <si>
    <t>Pago de capital</t>
  </si>
  <si>
    <t>Pago de intereses</t>
  </si>
  <si>
    <t>Pago de dividendos</t>
  </si>
  <si>
    <t>Flujo neto de efectivo por las actividades de financiación</t>
  </si>
  <si>
    <t>RF EyEE (incluyendo el RECPAM)</t>
  </si>
  <si>
    <t>Variaciones en activos y pasivos operativos</t>
  </si>
  <si>
    <t>Creditos por ventas</t>
  </si>
  <si>
    <t>Pago del impuesto a las ganancias</t>
  </si>
  <si>
    <t>Flujo neto de efectivo por las actividades de operación</t>
  </si>
  <si>
    <t>Clases</t>
  </si>
  <si>
    <t>Terrenos</t>
  </si>
  <si>
    <t>Otros</t>
  </si>
  <si>
    <t>Altas</t>
  </si>
  <si>
    <t>Bajas</t>
  </si>
  <si>
    <t>Reclasif.</t>
  </si>
  <si>
    <t>Costo de origen</t>
  </si>
  <si>
    <t>Del ejercicio</t>
  </si>
  <si>
    <t>Depreciaciones acumuladas</t>
  </si>
  <si>
    <t>Importe</t>
  </si>
  <si>
    <t>Neto</t>
  </si>
  <si>
    <t>Composición del saldo por impuesto a las ganancias</t>
  </si>
  <si>
    <t>Impuesto diferido del ejercicio</t>
  </si>
  <si>
    <t>Pasivo (activo) neto al inicio del ejercicio</t>
  </si>
  <si>
    <t>Pasivo (activo) neto al final del ejercicio</t>
  </si>
  <si>
    <t>Gasto (ingreso) por impuesto diferido del ejercicio</t>
  </si>
  <si>
    <t>Gasto (ingreso) impuesto a las ganancias</t>
  </si>
  <si>
    <t>Gasto (ingreso) por impuesto determinado del ejercicio</t>
  </si>
  <si>
    <t>Impuestos diferidos por rubros</t>
  </si>
  <si>
    <t>(Ganancia) pérdida antes del impuesto a las ganancias</t>
  </si>
  <si>
    <t>Impuesto teórico</t>
  </si>
  <si>
    <t>Diferencias que aumentan o disminuyen el impuesto (*)</t>
  </si>
  <si>
    <t xml:space="preserve"> (*) Incluye el efecto de reconocer los cambios en el poder adquisitivo de moneda para propósitos contables y no hacerlo para propósitos impositivos</t>
  </si>
  <si>
    <t>neto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</si>
</sst>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;\(#,##0\);\-"/>
    <numFmt numFmtId="165" formatCode="0.0000"/>
    <numFmt numFmtId="166" formatCode="_ * #,##0.0000_ ;_ * \-#,##0.0000_ ;_ * &quot;-&quot;??_ ;_ @_ "/>
    <numFmt numFmtId="167" formatCode="#,##0.0000;\(#,##0.0000\);\-"/>
    <numFmt numFmtId="168" formatCode="_ * #,##0_ ;_ * \-#,##0_ ;_ * &quot;-&quot;??_ ;_ @_ "/>
  </numFmts>
  <fonts count="23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theme="1"/>
      <name val="Arial"/>
      <family val="2"/>
    </font>
    <font>
      <b/>
      <u/>
      <sz val="10"/>
      <color theme="1"/>
      <name val="Tahoma"/>
      <family val="2"/>
    </font>
    <font>
      <sz val="10"/>
      <color rgb="FFFF0000"/>
      <name val="Arial"/>
      <family val="2"/>
    </font>
    <font>
      <sz val="10"/>
      <color rgb="FF7030A0"/>
      <name val="Tahoma"/>
      <family val="2"/>
    </font>
    <font>
      <b/>
      <sz val="10"/>
      <color rgb="FFFF0000"/>
      <name val="Tahoma"/>
      <family val="2"/>
    </font>
    <font>
      <b/>
      <sz val="11"/>
      <color theme="1"/>
      <name val="Arial"/>
      <family val="2"/>
    </font>
    <font>
      <sz val="10"/>
      <color rgb="FF000000"/>
      <name val="Tahoma"/>
      <family val="2"/>
    </font>
    <font>
      <b/>
      <sz val="11"/>
      <color theme="0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i/>
      <u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161">
    <xf numFmtId="0" fontId="0" fillId="0" borderId="0" xfId="0"/>
    <xf numFmtId="0" fontId="1" fillId="2" borderId="0" xfId="0" applyFont="1" applyFill="1" applyAlignment="1">
      <alignment horizontal="left"/>
    </xf>
    <xf numFmtId="17" fontId="1" fillId="2" borderId="0" xfId="0" applyNumberFormat="1" applyFont="1" applyFill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4" fillId="2" borderId="0" xfId="0" applyFont="1" applyFill="1"/>
    <xf numFmtId="164" fontId="4" fillId="2" borderId="0" xfId="0" applyNumberFormat="1" applyFont="1" applyFill="1"/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7" fontId="9" fillId="0" borderId="6" xfId="0" applyNumberFormat="1" applyFont="1" applyFill="1" applyBorder="1" applyAlignment="1">
      <alignment horizontal="center" vertical="center" wrapText="1"/>
    </xf>
    <xf numFmtId="165" fontId="9" fillId="0" borderId="7" xfId="2" applyNumberFormat="1" applyFont="1" applyBorder="1"/>
    <xf numFmtId="17" fontId="9" fillId="0" borderId="8" xfId="0" applyNumberFormat="1" applyFont="1" applyFill="1" applyBorder="1" applyAlignment="1">
      <alignment horizontal="center" vertical="center" wrapText="1"/>
    </xf>
    <xf numFmtId="165" fontId="9" fillId="0" borderId="9" xfId="2" applyNumberFormat="1" applyFont="1" applyBorder="1"/>
    <xf numFmtId="17" fontId="10" fillId="0" borderId="8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 applyProtection="1"/>
    <xf numFmtId="0" fontId="10" fillId="0" borderId="0" xfId="0" applyFont="1" applyFill="1" applyBorder="1"/>
    <xf numFmtId="165" fontId="8" fillId="0" borderId="9" xfId="2" applyNumberFormat="1" applyFont="1" applyFill="1" applyBorder="1"/>
    <xf numFmtId="165" fontId="9" fillId="0" borderId="9" xfId="2" applyNumberFormat="1" applyFont="1" applyFill="1" applyBorder="1"/>
    <xf numFmtId="17" fontId="10" fillId="0" borderId="10" xfId="0" applyNumberFormat="1" applyFont="1" applyFill="1" applyBorder="1" applyAlignment="1">
      <alignment horizontal="center"/>
    </xf>
    <xf numFmtId="165" fontId="9" fillId="0" borderId="11" xfId="2" applyNumberFormat="1" applyFont="1" applyFill="1" applyBorder="1"/>
    <xf numFmtId="17" fontId="10" fillId="0" borderId="0" xfId="0" applyNumberFormat="1" applyFont="1" applyFill="1" applyBorder="1" applyAlignment="1">
      <alignment horizontal="right"/>
    </xf>
    <xf numFmtId="0" fontId="1" fillId="2" borderId="0" xfId="0" applyFont="1" applyFill="1"/>
    <xf numFmtId="17" fontId="2" fillId="0" borderId="0" xfId="0" applyNumberFormat="1" applyFont="1"/>
    <xf numFmtId="17" fontId="2" fillId="0" borderId="12" xfId="0" applyNumberFormat="1" applyFont="1" applyBorder="1"/>
    <xf numFmtId="164" fontId="2" fillId="0" borderId="12" xfId="0" applyNumberFormat="1" applyFont="1" applyBorder="1"/>
    <xf numFmtId="0" fontId="7" fillId="4" borderId="0" xfId="0" applyFont="1" applyFill="1" applyAlignment="1">
      <alignment horizontal="right"/>
    </xf>
    <xf numFmtId="164" fontId="7" fillId="4" borderId="0" xfId="0" applyNumberFormat="1" applyFont="1" applyFill="1"/>
    <xf numFmtId="0" fontId="7" fillId="4" borderId="0" xfId="0" applyFont="1" applyFill="1"/>
    <xf numFmtId="43" fontId="2" fillId="0" borderId="0" xfId="1" applyFont="1"/>
    <xf numFmtId="166" fontId="2" fillId="0" borderId="0" xfId="1" applyNumberFormat="1" applyFont="1"/>
    <xf numFmtId="43" fontId="2" fillId="0" borderId="0" xfId="0" applyNumberFormat="1" applyFont="1"/>
    <xf numFmtId="0" fontId="11" fillId="0" borderId="0" xfId="0" applyFont="1"/>
    <xf numFmtId="9" fontId="2" fillId="0" borderId="0" xfId="0" applyNumberFormat="1" applyFont="1"/>
    <xf numFmtId="0" fontId="1" fillId="2" borderId="0" xfId="0" applyFont="1" applyFill="1" applyAlignment="1">
      <alignment wrapText="1"/>
    </xf>
    <xf numFmtId="164" fontId="12" fillId="0" borderId="0" xfId="0" applyNumberFormat="1" applyFont="1"/>
    <xf numFmtId="0" fontId="7" fillId="0" borderId="0" xfId="0" applyFont="1"/>
    <xf numFmtId="0" fontId="3" fillId="0" borderId="0" xfId="0" applyFont="1"/>
    <xf numFmtId="0" fontId="12" fillId="0" borderId="0" xfId="0" applyFont="1"/>
    <xf numFmtId="164" fontId="2" fillId="6" borderId="0" xfId="0" applyNumberFormat="1" applyFont="1" applyFill="1"/>
    <xf numFmtId="164" fontId="2" fillId="8" borderId="0" xfId="0" applyNumberFormat="1" applyFont="1" applyFill="1"/>
    <xf numFmtId="164" fontId="3" fillId="8" borderId="1" xfId="0" applyNumberFormat="1" applyFont="1" applyFill="1" applyBorder="1"/>
    <xf numFmtId="164" fontId="2" fillId="8" borderId="1" xfId="0" applyNumberFormat="1" applyFont="1" applyFill="1" applyBorder="1"/>
    <xf numFmtId="43" fontId="2" fillId="8" borderId="0" xfId="1" applyFont="1" applyFill="1"/>
    <xf numFmtId="166" fontId="2" fillId="8" borderId="0" xfId="1" applyNumberFormat="1" applyFont="1" applyFill="1"/>
    <xf numFmtId="167" fontId="2" fillId="0" borderId="0" xfId="0" applyNumberFormat="1" applyFont="1"/>
    <xf numFmtId="166" fontId="2" fillId="8" borderId="0" xfId="0" applyNumberFormat="1" applyFont="1" applyFill="1"/>
    <xf numFmtId="166" fontId="3" fillId="8" borderId="1" xfId="0" applyNumberFormat="1" applyFont="1" applyFill="1" applyBorder="1"/>
    <xf numFmtId="167" fontId="3" fillId="0" borderId="1" xfId="0" applyNumberFormat="1" applyFont="1" applyBorder="1"/>
    <xf numFmtId="166" fontId="2" fillId="8" borderId="1" xfId="0" applyNumberFormat="1" applyFont="1" applyFill="1" applyBorder="1"/>
    <xf numFmtId="167" fontId="2" fillId="0" borderId="1" xfId="0" applyNumberFormat="1" applyFont="1" applyBorder="1"/>
    <xf numFmtId="43" fontId="2" fillId="8" borderId="0" xfId="0" applyNumberFormat="1" applyFont="1" applyFill="1"/>
    <xf numFmtId="43" fontId="3" fillId="8" borderId="1" xfId="0" applyNumberFormat="1" applyFont="1" applyFill="1" applyBorder="1"/>
    <xf numFmtId="43" fontId="3" fillId="0" borderId="1" xfId="0" applyNumberFormat="1" applyFont="1" applyBorder="1"/>
    <xf numFmtId="43" fontId="2" fillId="8" borderId="1" xfId="0" applyNumberFormat="1" applyFont="1" applyFill="1" applyBorder="1"/>
    <xf numFmtId="43" fontId="2" fillId="0" borderId="1" xfId="0" applyNumberFormat="1" applyFont="1" applyBorder="1"/>
    <xf numFmtId="43" fontId="2" fillId="6" borderId="0" xfId="1" applyFont="1" applyFill="1"/>
    <xf numFmtId="164" fontId="14" fillId="0" borderId="0" xfId="0" applyNumberFormat="1" applyFont="1"/>
    <xf numFmtId="164" fontId="1" fillId="2" borderId="0" xfId="0" applyNumberFormat="1" applyFont="1" applyFill="1"/>
    <xf numFmtId="17" fontId="2" fillId="0" borderId="0" xfId="0" applyNumberFormat="1" applyFont="1" applyBorder="1"/>
    <xf numFmtId="164" fontId="2" fillId="0" borderId="0" xfId="0" applyNumberFormat="1" applyFont="1" applyBorder="1"/>
    <xf numFmtId="164" fontId="15" fillId="0" borderId="0" xfId="0" applyNumberFormat="1" applyFont="1"/>
    <xf numFmtId="0" fontId="2" fillId="0" borderId="12" xfId="0" applyFont="1" applyBorder="1"/>
    <xf numFmtId="164" fontId="15" fillId="0" borderId="1" xfId="0" applyNumberFormat="1" applyFont="1" applyBorder="1"/>
    <xf numFmtId="43" fontId="0" fillId="0" borderId="0" xfId="1" applyFont="1"/>
    <xf numFmtId="168" fontId="2" fillId="0" borderId="0" xfId="1" applyNumberFormat="1" applyFont="1"/>
    <xf numFmtId="168" fontId="0" fillId="0" borderId="0" xfId="1" applyNumberFormat="1" applyFont="1"/>
    <xf numFmtId="0" fontId="2" fillId="9" borderId="0" xfId="0" applyFont="1" applyFill="1"/>
    <xf numFmtId="0" fontId="1" fillId="9" borderId="0" xfId="0" applyFont="1" applyFill="1"/>
    <xf numFmtId="0" fontId="16" fillId="0" borderId="0" xfId="0" applyFont="1"/>
    <xf numFmtId="164" fontId="16" fillId="0" borderId="0" xfId="0" applyNumberFormat="1" applyFont="1"/>
    <xf numFmtId="1" fontId="16" fillId="0" borderId="1" xfId="0" applyNumberFormat="1" applyFont="1" applyBorder="1"/>
    <xf numFmtId="164" fontId="11" fillId="0" borderId="0" xfId="0" applyNumberFormat="1" applyFont="1"/>
    <xf numFmtId="164" fontId="11" fillId="0" borderId="1" xfId="0" applyNumberFormat="1" applyFont="1" applyBorder="1"/>
    <xf numFmtId="0" fontId="17" fillId="0" borderId="13" xfId="0" applyFont="1" applyFill="1" applyBorder="1"/>
    <xf numFmtId="0" fontId="17" fillId="0" borderId="0" xfId="0" applyFont="1" applyFill="1" applyBorder="1"/>
    <xf numFmtId="164" fontId="17" fillId="0" borderId="0" xfId="0" applyNumberFormat="1" applyFont="1" applyFill="1" applyBorder="1"/>
    <xf numFmtId="17" fontId="17" fillId="0" borderId="0" xfId="0" applyNumberFormat="1" applyFont="1" applyFill="1" applyBorder="1"/>
    <xf numFmtId="0" fontId="17" fillId="0" borderId="21" xfId="0" applyFont="1" applyFill="1" applyBorder="1"/>
    <xf numFmtId="17" fontId="17" fillId="0" borderId="12" xfId="0" applyNumberFormat="1" applyFont="1" applyFill="1" applyBorder="1"/>
    <xf numFmtId="164" fontId="17" fillId="0" borderId="12" xfId="0" applyNumberFormat="1" applyFont="1" applyFill="1" applyBorder="1"/>
    <xf numFmtId="0" fontId="17" fillId="0" borderId="14" xfId="0" applyFont="1" applyFill="1" applyBorder="1"/>
    <xf numFmtId="0" fontId="17" fillId="0" borderId="15" xfId="0" applyFont="1" applyFill="1" applyBorder="1"/>
    <xf numFmtId="10" fontId="17" fillId="0" borderId="15" xfId="0" applyNumberFormat="1" applyFont="1" applyFill="1" applyBorder="1"/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164" fontId="17" fillId="0" borderId="18" xfId="0" applyNumberFormat="1" applyFont="1" applyFill="1" applyBorder="1"/>
    <xf numFmtId="164" fontId="17" fillId="0" borderId="22" xfId="0" applyNumberFormat="1" applyFont="1" applyFill="1" applyBorder="1"/>
    <xf numFmtId="0" fontId="17" fillId="0" borderId="19" xfId="0" applyFont="1" applyFill="1" applyBorder="1"/>
    <xf numFmtId="17" fontId="17" fillId="0" borderId="1" xfId="0" applyNumberFormat="1" applyFont="1" applyFill="1" applyBorder="1"/>
    <xf numFmtId="164" fontId="17" fillId="0" borderId="1" xfId="0" applyNumberFormat="1" applyFont="1" applyFill="1" applyBorder="1"/>
    <xf numFmtId="164" fontId="17" fillId="0" borderId="20" xfId="0" applyNumberFormat="1" applyFont="1" applyFill="1" applyBorder="1"/>
    <xf numFmtId="168" fontId="16" fillId="0" borderId="0" xfId="1" applyNumberFormat="1" applyFont="1"/>
    <xf numFmtId="168" fontId="16" fillId="0" borderId="0" xfId="0" applyNumberFormat="1" applyFont="1"/>
    <xf numFmtId="168" fontId="18" fillId="7" borderId="0" xfId="0" applyNumberFormat="1" applyFont="1" applyFill="1"/>
    <xf numFmtId="0" fontId="16" fillId="5" borderId="1" xfId="0" applyFont="1" applyFill="1" applyBorder="1"/>
    <xf numFmtId="164" fontId="16" fillId="5" borderId="1" xfId="0" applyNumberFormat="1" applyFont="1" applyFill="1" applyBorder="1"/>
    <xf numFmtId="0" fontId="11" fillId="0" borderId="1" xfId="0" applyFont="1" applyBorder="1"/>
    <xf numFmtId="164" fontId="11" fillId="0" borderId="0" xfId="0" applyNumberFormat="1" applyFont="1" applyBorder="1"/>
    <xf numFmtId="0" fontId="11" fillId="0" borderId="1" xfId="0" applyFont="1" applyBorder="1" applyAlignment="1">
      <alignment horizontal="center"/>
    </xf>
    <xf numFmtId="17" fontId="11" fillId="0" borderId="1" xfId="0" applyNumberFormat="1" applyFont="1" applyBorder="1"/>
    <xf numFmtId="17" fontId="11" fillId="0" borderId="1" xfId="0" applyNumberFormat="1" applyFont="1" applyFill="1" applyBorder="1"/>
    <xf numFmtId="0" fontId="11" fillId="0" borderId="0" xfId="0" applyFont="1" applyFill="1" applyBorder="1"/>
    <xf numFmtId="0" fontId="16" fillId="0" borderId="14" xfId="0" applyFont="1" applyBorder="1"/>
    <xf numFmtId="0" fontId="16" fillId="0" borderId="15" xfId="0" applyFont="1" applyBorder="1"/>
    <xf numFmtId="0" fontId="11" fillId="0" borderId="15" xfId="0" applyFont="1" applyBorder="1"/>
    <xf numFmtId="0" fontId="11" fillId="0" borderId="23" xfId="0" applyFont="1" applyBorder="1"/>
    <xf numFmtId="0" fontId="16" fillId="0" borderId="13" xfId="0" applyFont="1" applyBorder="1"/>
    <xf numFmtId="0" fontId="16" fillId="0" borderId="0" xfId="0" applyFont="1" applyBorder="1"/>
    <xf numFmtId="0" fontId="11" fillId="0" borderId="0" xfId="0" applyFont="1" applyBorder="1"/>
    <xf numFmtId="0" fontId="11" fillId="0" borderId="18" xfId="0" applyFont="1" applyBorder="1"/>
    <xf numFmtId="0" fontId="11" fillId="0" borderId="13" xfId="0" applyFont="1" applyBorder="1"/>
    <xf numFmtId="16" fontId="16" fillId="0" borderId="0" xfId="0" applyNumberFormat="1" applyFont="1" applyBorder="1"/>
    <xf numFmtId="16" fontId="16" fillId="0" borderId="18" xfId="0" applyNumberFormat="1" applyFont="1" applyBorder="1"/>
    <xf numFmtId="0" fontId="19" fillId="0" borderId="0" xfId="0" applyFont="1" applyBorder="1"/>
    <xf numFmtId="1" fontId="16" fillId="0" borderId="18" xfId="0" applyNumberFormat="1" applyFont="1" applyBorder="1"/>
    <xf numFmtId="0" fontId="19" fillId="0" borderId="13" xfId="0" applyFont="1" applyBorder="1"/>
    <xf numFmtId="164" fontId="11" fillId="0" borderId="18" xfId="0" applyNumberFormat="1" applyFont="1" applyBorder="1"/>
    <xf numFmtId="0" fontId="11" fillId="0" borderId="19" xfId="0" applyFont="1" applyBorder="1"/>
    <xf numFmtId="0" fontId="16" fillId="5" borderId="13" xfId="0" applyFont="1" applyFill="1" applyBorder="1"/>
    <xf numFmtId="0" fontId="16" fillId="5" borderId="0" xfId="0" applyFont="1" applyFill="1" applyBorder="1"/>
    <xf numFmtId="164" fontId="16" fillId="5" borderId="0" xfId="0" applyNumberFormat="1" applyFont="1" applyFill="1" applyBorder="1"/>
    <xf numFmtId="164" fontId="16" fillId="0" borderId="18" xfId="0" applyNumberFormat="1" applyFont="1" applyBorder="1"/>
    <xf numFmtId="164" fontId="11" fillId="0" borderId="18" xfId="0" applyNumberFormat="1" applyFont="1" applyFill="1" applyBorder="1"/>
    <xf numFmtId="164" fontId="11" fillId="0" borderId="0" xfId="0" applyNumberFormat="1" applyFont="1" applyFill="1" applyBorder="1"/>
    <xf numFmtId="164" fontId="16" fillId="0" borderId="0" xfId="0" applyNumberFormat="1" applyFont="1" applyBorder="1"/>
    <xf numFmtId="164" fontId="11" fillId="0" borderId="20" xfId="0" applyNumberFormat="1" applyFont="1" applyBorder="1"/>
    <xf numFmtId="0" fontId="16" fillId="5" borderId="19" xfId="0" applyFont="1" applyFill="1" applyBorder="1"/>
    <xf numFmtId="0" fontId="11" fillId="0" borderId="20" xfId="0" applyFont="1" applyBorder="1"/>
    <xf numFmtId="0" fontId="11" fillId="0" borderId="0" xfId="0" applyFont="1" applyBorder="1" applyAlignment="1">
      <alignment horizontal="center"/>
    </xf>
    <xf numFmtId="0" fontId="0" fillId="0" borderId="15" xfId="0" applyBorder="1"/>
    <xf numFmtId="0" fontId="0" fillId="0" borderId="23" xfId="0" applyBorder="1"/>
    <xf numFmtId="0" fontId="0" fillId="0" borderId="0" xfId="0" applyBorder="1"/>
    <xf numFmtId="0" fontId="0" fillId="0" borderId="18" xfId="0" applyBorder="1"/>
    <xf numFmtId="0" fontId="0" fillId="0" borderId="13" xfId="0" applyBorder="1"/>
    <xf numFmtId="0" fontId="20" fillId="0" borderId="13" xfId="0" applyFont="1" applyBorder="1"/>
    <xf numFmtId="0" fontId="20" fillId="0" borderId="0" xfId="0" applyFont="1" applyBorder="1"/>
    <xf numFmtId="0" fontId="0" fillId="0" borderId="19" xfId="0" applyBorder="1"/>
    <xf numFmtId="0" fontId="0" fillId="0" borderId="1" xfId="0" applyBorder="1"/>
    <xf numFmtId="0" fontId="0" fillId="0" borderId="20" xfId="0" applyBorder="1"/>
    <xf numFmtId="164" fontId="16" fillId="0" borderId="15" xfId="0" applyNumberFormat="1" applyFont="1" applyBorder="1"/>
    <xf numFmtId="0" fontId="16" fillId="0" borderId="23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6" fillId="0" borderId="20" xfId="0" applyFont="1" applyBorder="1"/>
    <xf numFmtId="0" fontId="11" fillId="0" borderId="14" xfId="0" applyFont="1" applyBorder="1"/>
    <xf numFmtId="0" fontId="11" fillId="0" borderId="15" xfId="0" applyFont="1" applyFill="1" applyBorder="1"/>
    <xf numFmtId="164" fontId="11" fillId="0" borderId="15" xfId="0" applyNumberFormat="1" applyFont="1" applyBorder="1"/>
    <xf numFmtId="0" fontId="21" fillId="0" borderId="13" xfId="0" applyFont="1" applyBorder="1"/>
    <xf numFmtId="164" fontId="2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9" fillId="0" borderId="0" xfId="0" applyFont="1" applyBorder="1"/>
    <xf numFmtId="0" fontId="11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4" xfId="2"/>
  </cellStyles>
  <dxfs count="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asanovas\AppData\Local\Microsoft\Windows\Temporary%20Internet%20Files\Content.Outlook\ESUBYGFU\Ejercicio%20integral%20-%20Plant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empalme ipim"/>
      <sheetName val="Planteo general"/>
      <sheetName val="INFORMACIÓN_ADICIONAL"/>
      <sheetName val="ES_INICIO"/>
      <sheetName val="PPE_INICIO"/>
      <sheetName val="PPE_CIERRE"/>
      <sheetName val="COSTO_DE_VENTAS_2018"/>
      <sheetName val="PATRIMONIO_2018"/>
    </sheetNames>
    <sheetDataSet>
      <sheetData sheetId="0"/>
      <sheetData sheetId="1"/>
      <sheetData sheetId="2">
        <row r="14">
          <cell r="B14">
            <v>130</v>
          </cell>
          <cell r="C14">
            <v>-91</v>
          </cell>
          <cell r="E14">
            <v>6.5</v>
          </cell>
        </row>
        <row r="16">
          <cell r="C16">
            <v>-42</v>
          </cell>
          <cell r="E16">
            <v>18</v>
          </cell>
        </row>
        <row r="17">
          <cell r="C17">
            <v>-27</v>
          </cell>
          <cell r="E17">
            <v>12</v>
          </cell>
        </row>
        <row r="18">
          <cell r="C18">
            <v>-25.8</v>
          </cell>
          <cell r="E18">
            <v>25.8</v>
          </cell>
        </row>
        <row r="19">
          <cell r="C19">
            <v>-33.5</v>
          </cell>
          <cell r="E19">
            <v>33.5</v>
          </cell>
        </row>
      </sheetData>
      <sheetData sheetId="3">
        <row r="15">
          <cell r="B15">
            <v>-180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workbookViewId="0">
      <selection activeCell="C21" sqref="C21"/>
    </sheetView>
  </sheetViews>
  <sheetFormatPr baseColWidth="10" defaultRowHeight="12.75" x14ac:dyDescent="0.2"/>
  <cols>
    <col min="1" max="1" width="42.28515625" style="3" bestFit="1" customWidth="1"/>
    <col min="2" max="3" width="12.7109375" style="3" customWidth="1"/>
    <col min="4" max="16384" width="11.42578125" style="3"/>
  </cols>
  <sheetData>
    <row r="1" spans="1:4" x14ac:dyDescent="0.2">
      <c r="C1" s="25" t="s">
        <v>66</v>
      </c>
      <c r="D1" s="25" t="s">
        <v>66</v>
      </c>
    </row>
    <row r="2" spans="1:4" x14ac:dyDescent="0.2">
      <c r="A2" s="1" t="s">
        <v>0</v>
      </c>
      <c r="B2" s="1" t="s">
        <v>61</v>
      </c>
      <c r="C2" s="2">
        <v>43435</v>
      </c>
      <c r="D2" s="2">
        <v>43070</v>
      </c>
    </row>
    <row r="3" spans="1:4" x14ac:dyDescent="0.2">
      <c r="A3" s="3" t="s">
        <v>1</v>
      </c>
      <c r="B3" s="3" t="s">
        <v>28</v>
      </c>
      <c r="C3" s="4">
        <f>'Paso 6'!P3</f>
        <v>767.00519797920674</v>
      </c>
      <c r="D3" s="4">
        <f>'Paso 4'!B2</f>
        <v>2823.4266188872048</v>
      </c>
    </row>
    <row r="4" spans="1:4" x14ac:dyDescent="0.2">
      <c r="A4" s="3" t="s">
        <v>2</v>
      </c>
      <c r="B4" s="3" t="s">
        <v>28</v>
      </c>
      <c r="C4" s="4">
        <f>'Paso 6'!P4</f>
        <v>1064</v>
      </c>
      <c r="D4" s="4">
        <f>'Paso 4'!B3</f>
        <v>0</v>
      </c>
    </row>
    <row r="5" spans="1:4" x14ac:dyDescent="0.2">
      <c r="A5" s="3" t="s">
        <v>3</v>
      </c>
      <c r="B5" s="3" t="s">
        <v>28</v>
      </c>
      <c r="C5" s="4">
        <f>'Paso 6'!P5</f>
        <v>257</v>
      </c>
      <c r="D5" s="4">
        <f>'Paso 4'!B4</f>
        <v>349.92004846324716</v>
      </c>
    </row>
    <row r="6" spans="1:4" x14ac:dyDescent="0.2">
      <c r="A6" s="3" t="s">
        <v>4</v>
      </c>
      <c r="B6" s="3" t="s">
        <v>28</v>
      </c>
      <c r="C6" s="4">
        <f>'Paso 6'!P6</f>
        <v>169.99999999999994</v>
      </c>
      <c r="D6" s="4">
        <f>'Paso 4'!B5</f>
        <v>243.61522361365309</v>
      </c>
    </row>
    <row r="7" spans="1:4" x14ac:dyDescent="0.2">
      <c r="A7" s="3" t="s">
        <v>5</v>
      </c>
      <c r="B7" s="3" t="s">
        <v>29</v>
      </c>
      <c r="C7" s="4">
        <f>'Paso 6'!P7</f>
        <v>0</v>
      </c>
      <c r="D7" s="4">
        <f>'Paso 4'!B6</f>
        <v>0</v>
      </c>
    </row>
    <row r="8" spans="1:4" x14ac:dyDescent="0.2">
      <c r="A8" s="3" t="s">
        <v>6</v>
      </c>
      <c r="B8" s="3" t="s">
        <v>29</v>
      </c>
      <c r="C8" s="4">
        <f>'Paso 6'!P8</f>
        <v>4126.2487309402677</v>
      </c>
      <c r="D8" s="4">
        <f>'Paso 4'!B7</f>
        <v>3654.6673481077955</v>
      </c>
    </row>
    <row r="9" spans="1:4" x14ac:dyDescent="0.2">
      <c r="A9" s="3" t="s">
        <v>7</v>
      </c>
      <c r="B9" s="3" t="s">
        <v>29</v>
      </c>
      <c r="C9" s="4">
        <f>'Paso 6'!P9</f>
        <v>-1568.7053769039451</v>
      </c>
      <c r="D9" s="4">
        <f>'Paso 4'!B8</f>
        <v>-1306.9730582157208</v>
      </c>
    </row>
    <row r="10" spans="1:4" x14ac:dyDescent="0.2">
      <c r="A10" s="3" t="s">
        <v>8</v>
      </c>
      <c r="B10" s="3" t="s">
        <v>28</v>
      </c>
      <c r="C10" s="4">
        <f>'Paso 6'!P10</f>
        <v>-414</v>
      </c>
      <c r="D10" s="4">
        <f>'Paso 4'!B9</f>
        <v>-537.42994785072551</v>
      </c>
    </row>
    <row r="11" spans="1:4" x14ac:dyDescent="0.2">
      <c r="A11" s="3" t="s">
        <v>9</v>
      </c>
      <c r="B11" s="3" t="s">
        <v>28</v>
      </c>
      <c r="C11" s="4">
        <f>'Paso 6'!P11</f>
        <v>-306.73993375942013</v>
      </c>
      <c r="D11" s="4">
        <f>'Paso 4'!B10</f>
        <v>0</v>
      </c>
    </row>
    <row r="12" spans="1:4" x14ac:dyDescent="0.2">
      <c r="A12" s="3" t="s">
        <v>10</v>
      </c>
      <c r="B12" s="3" t="s">
        <v>28</v>
      </c>
      <c r="C12" s="4">
        <f>'Paso 6'!P12</f>
        <v>-115</v>
      </c>
      <c r="D12" s="4">
        <f>'Paso 4'!B11</f>
        <v>-109.25773665097168</v>
      </c>
    </row>
    <row r="13" spans="1:4" ht="13.5" thickBot="1" x14ac:dyDescent="0.25">
      <c r="A13" s="5" t="s">
        <v>11</v>
      </c>
      <c r="B13" s="7" t="s">
        <v>28</v>
      </c>
      <c r="C13" s="8">
        <f>'Paso 6'!P13</f>
        <v>-344.91083850908069</v>
      </c>
      <c r="D13" s="8">
        <f>'Paso 4'!B12</f>
        <v>-245.97299360645601</v>
      </c>
    </row>
    <row r="14" spans="1:4" x14ac:dyDescent="0.2">
      <c r="A14" s="3" t="s">
        <v>12</v>
      </c>
      <c r="C14" s="4">
        <f>'Paso 6'!P14</f>
        <v>-1000</v>
      </c>
      <c r="D14" s="4">
        <f>'Paso 4'!B13</f>
        <v>-21881.353033042244</v>
      </c>
    </row>
    <row r="15" spans="1:4" x14ac:dyDescent="0.2">
      <c r="A15" s="3" t="s">
        <v>13</v>
      </c>
      <c r="C15" s="4">
        <f>'Paso 6'!P15</f>
        <v>-20881.353033042244</v>
      </c>
      <c r="D15" s="4">
        <f>'Paso 4'!B14</f>
        <v>0</v>
      </c>
    </row>
    <row r="16" spans="1:4" x14ac:dyDescent="0.2">
      <c r="A16" s="3" t="s">
        <v>14</v>
      </c>
      <c r="C16" s="4">
        <f>'Paso 6'!P16</f>
        <v>-276.83548137915125</v>
      </c>
      <c r="D16" s="4">
        <f>'Paso 4'!B15</f>
        <v>-265.76206212398517</v>
      </c>
    </row>
    <row r="17" spans="1:4" ht="13.5" thickBot="1" x14ac:dyDescent="0.25">
      <c r="A17" s="7" t="s">
        <v>15</v>
      </c>
      <c r="B17" s="7"/>
      <c r="C17" s="8">
        <f>'Paso 6'!P17</f>
        <v>18094.618239386178</v>
      </c>
      <c r="D17" s="8">
        <f>'Paso 4'!B16</f>
        <v>17275.119592418203</v>
      </c>
    </row>
    <row r="18" spans="1:4" x14ac:dyDescent="0.2">
      <c r="A18" s="3" t="s">
        <v>16</v>
      </c>
      <c r="C18" s="4">
        <f>'Paso 6'!P18</f>
        <v>-2774.8824246488689</v>
      </c>
    </row>
    <row r="19" spans="1:4" x14ac:dyDescent="0.2">
      <c r="A19" s="3" t="s">
        <v>17</v>
      </c>
      <c r="C19" s="4">
        <f>'Paso 6'!P19</f>
        <v>2099.3095323437542</v>
      </c>
    </row>
    <row r="20" spans="1:4" x14ac:dyDescent="0.2">
      <c r="A20" s="3" t="s">
        <v>18</v>
      </c>
      <c r="C20" s="4">
        <f>'Paso 6'!P20</f>
        <v>339.81881484125131</v>
      </c>
    </row>
    <row r="21" spans="1:4" x14ac:dyDescent="0.2">
      <c r="A21" s="3" t="s">
        <v>19</v>
      </c>
      <c r="C21" s="4">
        <f>'Paso 6'!P21</f>
        <v>261.73231868822404</v>
      </c>
    </row>
    <row r="22" spans="1:4" x14ac:dyDescent="0.2">
      <c r="A22" s="3" t="s">
        <v>20</v>
      </c>
      <c r="C22" s="4">
        <f>'Paso 6'!P22</f>
        <v>-140.07233410194215</v>
      </c>
    </row>
    <row r="23" spans="1:4" x14ac:dyDescent="0.2">
      <c r="A23" s="3" t="s">
        <v>21</v>
      </c>
      <c r="C23" s="4">
        <f>'Paso 6'!P23</f>
        <v>-135.7849024308735</v>
      </c>
    </row>
    <row r="24" spans="1:4" x14ac:dyDescent="0.2">
      <c r="A24" s="3" t="s">
        <v>22</v>
      </c>
      <c r="C24" s="4">
        <f>'Paso 6'!P24</f>
        <v>46.718967989937084</v>
      </c>
    </row>
    <row r="25" spans="1:4" x14ac:dyDescent="0.2">
      <c r="A25" s="3" t="s">
        <v>23</v>
      </c>
      <c r="C25" s="4">
        <f>'Paso 6'!P25</f>
        <v>235.09696641472499</v>
      </c>
    </row>
    <row r="26" spans="1:4" x14ac:dyDescent="0.2">
      <c r="A26" s="3" t="s">
        <v>25</v>
      </c>
      <c r="C26" s="4">
        <f>'Paso 6'!P26</f>
        <v>652.80853510318138</v>
      </c>
    </row>
    <row r="27" spans="1:4" x14ac:dyDescent="0.2">
      <c r="A27" s="3" t="s">
        <v>26</v>
      </c>
      <c r="C27" s="4">
        <f>'Paso 6'!P27</f>
        <v>-156.07297891119947</v>
      </c>
    </row>
    <row r="28" spans="1:4" x14ac:dyDescent="0.2">
      <c r="A28" s="9" t="s">
        <v>24</v>
      </c>
      <c r="B28" s="9"/>
      <c r="C28" s="61">
        <f t="shared" ref="C28:D28" si="0">ROUND(SUM(C3:C27),0)</f>
        <v>0</v>
      </c>
      <c r="D28" s="61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topLeftCell="C1" workbookViewId="0">
      <selection activeCell="B22" sqref="B22"/>
    </sheetView>
  </sheetViews>
  <sheetFormatPr baseColWidth="10" defaultRowHeight="12.75" x14ac:dyDescent="0.2"/>
  <cols>
    <col min="1" max="1" width="42.28515625" style="3" bestFit="1" customWidth="1"/>
    <col min="2" max="16384" width="11.42578125" style="3"/>
  </cols>
  <sheetData>
    <row r="1" spans="1:14" x14ac:dyDescent="0.2">
      <c r="A1" s="1" t="s">
        <v>0</v>
      </c>
      <c r="B1" s="2">
        <v>43070</v>
      </c>
      <c r="C1" s="2">
        <v>43101</v>
      </c>
      <c r="D1" s="2">
        <v>43132</v>
      </c>
      <c r="E1" s="2">
        <v>43160</v>
      </c>
      <c r="F1" s="2">
        <v>43191</v>
      </c>
      <c r="G1" s="2">
        <v>43221</v>
      </c>
      <c r="H1" s="2">
        <v>43252</v>
      </c>
      <c r="I1" s="2">
        <v>43282</v>
      </c>
      <c r="J1" s="2">
        <v>43313</v>
      </c>
      <c r="K1" s="2">
        <v>43344</v>
      </c>
      <c r="L1" s="2">
        <v>43374</v>
      </c>
      <c r="M1" s="2">
        <v>43405</v>
      </c>
      <c r="N1" s="2">
        <v>43435</v>
      </c>
    </row>
    <row r="2" spans="1:14" x14ac:dyDescent="0.2">
      <c r="A2" s="3" t="s">
        <v>1</v>
      </c>
      <c r="B2" s="4">
        <v>1912.3</v>
      </c>
      <c r="C2" s="4">
        <v>2133.3000000000002</v>
      </c>
      <c r="D2" s="4">
        <v>1869.3</v>
      </c>
      <c r="E2" s="4">
        <v>1487.3</v>
      </c>
      <c r="F2" s="4">
        <v>991.76724421991207</v>
      </c>
      <c r="G2" s="4">
        <v>918.73448843982374</v>
      </c>
      <c r="H2" s="4">
        <v>920.7017326597354</v>
      </c>
      <c r="I2" s="4">
        <v>1027.1689768796475</v>
      </c>
      <c r="J2" s="4">
        <v>1042.1362210995587</v>
      </c>
      <c r="K2" s="4">
        <v>1020.1034653194712</v>
      </c>
      <c r="L2" s="4">
        <v>655.07070953938239</v>
      </c>
      <c r="M2" s="4">
        <v>785.03795375929451</v>
      </c>
      <c r="N2" s="4">
        <v>767.00519797920674</v>
      </c>
    </row>
    <row r="3" spans="1:14" x14ac:dyDescent="0.2">
      <c r="A3" s="3" t="s">
        <v>2</v>
      </c>
      <c r="B3" s="4">
        <v>0</v>
      </c>
      <c r="C3" s="4">
        <v>0</v>
      </c>
      <c r="D3" s="4">
        <v>0</v>
      </c>
      <c r="E3" s="4">
        <v>400</v>
      </c>
      <c r="F3" s="4">
        <v>450</v>
      </c>
      <c r="G3" s="4">
        <v>540</v>
      </c>
      <c r="H3" s="4">
        <v>630</v>
      </c>
      <c r="I3" s="4">
        <v>702</v>
      </c>
      <c r="J3" s="4">
        <v>729</v>
      </c>
      <c r="K3" s="4">
        <v>648</v>
      </c>
      <c r="L3" s="4">
        <v>994</v>
      </c>
      <c r="M3" s="4">
        <v>1036</v>
      </c>
      <c r="N3" s="4">
        <v>1064</v>
      </c>
    </row>
    <row r="4" spans="1:14" x14ac:dyDescent="0.2">
      <c r="A4" s="3" t="s">
        <v>3</v>
      </c>
      <c r="B4" s="4">
        <v>237</v>
      </c>
      <c r="C4" s="4">
        <v>117</v>
      </c>
      <c r="D4" s="4">
        <v>124</v>
      </c>
      <c r="E4" s="4">
        <v>233.5</v>
      </c>
      <c r="F4" s="4">
        <v>140</v>
      </c>
      <c r="G4" s="4">
        <v>150</v>
      </c>
      <c r="H4" s="4">
        <v>264.5</v>
      </c>
      <c r="I4" s="4">
        <v>175</v>
      </c>
      <c r="J4" s="4">
        <v>131</v>
      </c>
      <c r="K4" s="4">
        <v>150</v>
      </c>
      <c r="L4" s="4">
        <v>300</v>
      </c>
      <c r="M4" s="4">
        <v>263</v>
      </c>
      <c r="N4" s="4">
        <v>257</v>
      </c>
    </row>
    <row r="5" spans="1:14" x14ac:dyDescent="0.2">
      <c r="A5" s="3" t="s">
        <v>4</v>
      </c>
      <c r="B5" s="4">
        <v>165</v>
      </c>
      <c r="C5" s="4">
        <v>165</v>
      </c>
      <c r="D5" s="4">
        <v>165</v>
      </c>
      <c r="E5" s="4">
        <v>165</v>
      </c>
      <c r="F5" s="4">
        <v>165</v>
      </c>
      <c r="G5" s="4">
        <v>165</v>
      </c>
      <c r="H5" s="4">
        <v>165</v>
      </c>
      <c r="I5" s="4">
        <v>165</v>
      </c>
      <c r="J5" s="4">
        <v>165</v>
      </c>
      <c r="K5" s="4">
        <v>165</v>
      </c>
      <c r="L5" s="4">
        <v>165</v>
      </c>
      <c r="M5" s="4">
        <v>165</v>
      </c>
      <c r="N5" s="4">
        <v>165</v>
      </c>
    </row>
    <row r="6" spans="1:14" x14ac:dyDescent="0.2">
      <c r="A6" s="3" t="s">
        <v>5</v>
      </c>
      <c r="B6" s="4">
        <v>0</v>
      </c>
      <c r="C6" s="4">
        <v>88</v>
      </c>
      <c r="D6" s="4">
        <v>182</v>
      </c>
      <c r="E6" s="4">
        <v>281</v>
      </c>
      <c r="F6" s="4">
        <v>387</v>
      </c>
      <c r="G6" s="4">
        <v>501</v>
      </c>
      <c r="H6" s="4">
        <v>623</v>
      </c>
      <c r="I6" s="4">
        <v>736</v>
      </c>
      <c r="J6" s="4">
        <v>835</v>
      </c>
      <c r="K6" s="4">
        <v>949</v>
      </c>
      <c r="L6" s="4">
        <v>1176</v>
      </c>
      <c r="M6" s="4">
        <v>1375</v>
      </c>
      <c r="N6" s="4">
        <v>1590</v>
      </c>
    </row>
    <row r="7" spans="1:14" x14ac:dyDescent="0.2">
      <c r="A7" s="3" t="s">
        <v>6</v>
      </c>
      <c r="B7" s="4">
        <v>1143</v>
      </c>
      <c r="C7" s="4">
        <v>1143</v>
      </c>
      <c r="D7" s="4">
        <v>1143</v>
      </c>
      <c r="E7" s="4">
        <v>1143</v>
      </c>
      <c r="F7" s="4">
        <v>1493</v>
      </c>
      <c r="G7" s="4">
        <v>1493</v>
      </c>
      <c r="H7" s="4">
        <v>1493</v>
      </c>
      <c r="I7" s="4">
        <v>1493</v>
      </c>
      <c r="J7" s="4">
        <v>1493</v>
      </c>
      <c r="K7" s="4">
        <v>1493</v>
      </c>
      <c r="L7" s="4">
        <v>1493</v>
      </c>
      <c r="M7" s="4">
        <v>1493</v>
      </c>
      <c r="N7" s="4">
        <v>1493</v>
      </c>
    </row>
    <row r="8" spans="1:14" x14ac:dyDescent="0.2">
      <c r="A8" s="3" t="s">
        <v>7</v>
      </c>
      <c r="B8" s="4">
        <v>-219.3</v>
      </c>
      <c r="C8" s="4">
        <v>-227.28333333333333</v>
      </c>
      <c r="D8" s="4">
        <v>-235.26666666666668</v>
      </c>
      <c r="E8" s="4">
        <v>-243.25</v>
      </c>
      <c r="F8" s="4">
        <v>-251.23333333333335</v>
      </c>
      <c r="G8" s="4">
        <v>-259.2166666666667</v>
      </c>
      <c r="H8" s="4">
        <v>-267.2</v>
      </c>
      <c r="I8" s="4">
        <v>-275.18333333333334</v>
      </c>
      <c r="J8" s="4">
        <v>-283.16666666666669</v>
      </c>
      <c r="K8" s="4">
        <v>-291.14999999999998</v>
      </c>
      <c r="L8" s="4">
        <v>-299.13333333333333</v>
      </c>
      <c r="M8" s="4">
        <v>-307.11666666666667</v>
      </c>
      <c r="N8" s="4">
        <v>-315.10000000000002</v>
      </c>
    </row>
    <row r="9" spans="1:14" x14ac:dyDescent="0.2">
      <c r="A9" s="3" t="s">
        <v>8</v>
      </c>
      <c r="B9" s="4">
        <v>-364</v>
      </c>
      <c r="C9" s="4">
        <v>-452</v>
      </c>
      <c r="D9" s="4">
        <v>-182</v>
      </c>
      <c r="E9" s="4">
        <v>-193</v>
      </c>
      <c r="F9" s="4">
        <v>-205</v>
      </c>
      <c r="G9" s="4">
        <v>-220</v>
      </c>
      <c r="H9" s="4">
        <v>-236</v>
      </c>
      <c r="I9" s="4">
        <v>-235</v>
      </c>
      <c r="J9" s="4">
        <v>-212</v>
      </c>
      <c r="K9" s="4">
        <v>-213</v>
      </c>
      <c r="L9" s="4">
        <v>-341</v>
      </c>
      <c r="M9" s="4">
        <v>-426</v>
      </c>
      <c r="N9" s="4">
        <v>-414</v>
      </c>
    </row>
    <row r="10" spans="1:14" x14ac:dyDescent="0.2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4">
        <v>-346.00891088657846</v>
      </c>
      <c r="G10" s="4">
        <v>-341.83489685545845</v>
      </c>
      <c r="H10" s="4">
        <v>-337.4695738479121</v>
      </c>
      <c r="I10" s="4">
        <v>-332.9041735358532</v>
      </c>
      <c r="J10" s="4">
        <v>-328.12952570949165</v>
      </c>
      <c r="K10" s="4">
        <v>-323.13603985775518</v>
      </c>
      <c r="L10" s="4">
        <v>-317.91368590448076</v>
      </c>
      <c r="M10" s="4">
        <v>-312.45197406168126</v>
      </c>
      <c r="N10" s="4">
        <v>-306.73993375942013</v>
      </c>
    </row>
    <row r="11" spans="1:14" x14ac:dyDescent="0.2">
      <c r="A11" s="3" t="s">
        <v>10</v>
      </c>
      <c r="B11" s="4">
        <v>-74</v>
      </c>
      <c r="C11" s="4">
        <v>-74</v>
      </c>
      <c r="D11" s="4">
        <v>-74</v>
      </c>
      <c r="E11" s="4">
        <v>-74</v>
      </c>
      <c r="F11" s="4">
        <v>-74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-115</v>
      </c>
    </row>
    <row r="12" spans="1:14" ht="13.5" thickBot="1" x14ac:dyDescent="0.25">
      <c r="A12" s="5" t="s">
        <v>11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2">
      <c r="A13" s="3" t="s">
        <v>12</v>
      </c>
      <c r="B13" s="4">
        <v>-1000</v>
      </c>
      <c r="C13" s="4">
        <v>-1000</v>
      </c>
      <c r="D13" s="4">
        <v>-1000</v>
      </c>
      <c r="E13" s="4">
        <v>-1000</v>
      </c>
      <c r="F13" s="4">
        <v>-1000</v>
      </c>
      <c r="G13" s="4">
        <v>-1000</v>
      </c>
      <c r="H13" s="4">
        <v>-1000</v>
      </c>
      <c r="I13" s="4">
        <v>-1000</v>
      </c>
      <c r="J13" s="4">
        <v>-1000</v>
      </c>
      <c r="K13" s="4">
        <v>-1000</v>
      </c>
      <c r="L13" s="4">
        <v>-1000</v>
      </c>
      <c r="M13" s="4">
        <v>-1000</v>
      </c>
      <c r="N13" s="4">
        <v>-1000</v>
      </c>
    </row>
    <row r="14" spans="1:14" x14ac:dyDescent="0.2">
      <c r="A14" s="3" t="s">
        <v>13</v>
      </c>
      <c r="B14" s="4">
        <v>-970</v>
      </c>
      <c r="C14" s="4">
        <v>-970</v>
      </c>
      <c r="D14" s="4">
        <v>-970</v>
      </c>
      <c r="E14" s="4">
        <v>-970</v>
      </c>
      <c r="F14" s="4">
        <v>-970</v>
      </c>
      <c r="G14" s="4">
        <v>-970</v>
      </c>
      <c r="H14" s="4">
        <v>-970</v>
      </c>
      <c r="I14" s="4">
        <v>-970</v>
      </c>
      <c r="J14" s="4">
        <v>-970</v>
      </c>
      <c r="K14" s="4">
        <v>-970</v>
      </c>
      <c r="L14" s="4">
        <v>-970</v>
      </c>
      <c r="M14" s="4">
        <v>-970</v>
      </c>
      <c r="N14" s="4">
        <v>-970</v>
      </c>
    </row>
    <row r="15" spans="1:14" x14ac:dyDescent="0.2">
      <c r="A15" s="3" t="s">
        <v>14</v>
      </c>
      <c r="B15" s="4">
        <v>-180</v>
      </c>
      <c r="C15" s="4">
        <v>-180</v>
      </c>
      <c r="D15" s="4">
        <v>-180</v>
      </c>
      <c r="E15" s="4">
        <v>-180</v>
      </c>
      <c r="F15" s="4">
        <v>-187.5</v>
      </c>
      <c r="G15" s="4">
        <v>-187.5</v>
      </c>
      <c r="H15" s="4">
        <v>-187.5</v>
      </c>
      <c r="I15" s="4">
        <v>-187.5</v>
      </c>
      <c r="J15" s="4">
        <v>-187.5</v>
      </c>
      <c r="K15" s="4">
        <v>-187.5</v>
      </c>
      <c r="L15" s="4">
        <v>-187.5</v>
      </c>
      <c r="M15" s="4">
        <v>-187.5</v>
      </c>
      <c r="N15" s="4">
        <v>-187.5</v>
      </c>
    </row>
    <row r="16" spans="1:14" ht="13.5" thickBot="1" x14ac:dyDescent="0.25">
      <c r="A16" s="7" t="s">
        <v>15</v>
      </c>
      <c r="B16" s="8">
        <v>-650</v>
      </c>
      <c r="C16" s="8">
        <v>-650</v>
      </c>
      <c r="D16" s="8">
        <v>-650</v>
      </c>
      <c r="E16" s="8">
        <v>-650</v>
      </c>
      <c r="F16" s="8">
        <v>-42.5</v>
      </c>
      <c r="G16" s="8">
        <v>-42.5</v>
      </c>
      <c r="H16" s="8">
        <v>-42.5</v>
      </c>
      <c r="I16" s="8">
        <v>-42.5</v>
      </c>
      <c r="J16" s="8">
        <v>-42.5</v>
      </c>
      <c r="K16" s="8">
        <v>-42.5</v>
      </c>
      <c r="L16" s="8">
        <v>-42.5</v>
      </c>
      <c r="M16" s="8">
        <v>-42.5</v>
      </c>
      <c r="N16" s="8">
        <v>-42.5</v>
      </c>
    </row>
    <row r="17" spans="1:17" x14ac:dyDescent="0.2">
      <c r="A17" s="3" t="s">
        <v>16</v>
      </c>
      <c r="B17" s="4"/>
      <c r="C17" s="4">
        <v>-117</v>
      </c>
      <c r="D17" s="4">
        <v>-241</v>
      </c>
      <c r="E17" s="4">
        <v>-474.5</v>
      </c>
      <c r="F17" s="4">
        <v>-614.5</v>
      </c>
      <c r="G17" s="4">
        <v>-764.5</v>
      </c>
      <c r="H17" s="4">
        <v>-1029</v>
      </c>
      <c r="I17" s="4">
        <v>-1204</v>
      </c>
      <c r="J17" s="4">
        <v>-1335</v>
      </c>
      <c r="K17" s="4">
        <v>-1485</v>
      </c>
      <c r="L17" s="4">
        <v>-1785</v>
      </c>
      <c r="M17" s="4">
        <v>-2048</v>
      </c>
      <c r="N17" s="4">
        <v>-2305</v>
      </c>
    </row>
    <row r="18" spans="1:17" x14ac:dyDescent="0.2">
      <c r="A18" s="3" t="s">
        <v>17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7" x14ac:dyDescent="0.2">
      <c r="A19" s="3" t="s">
        <v>18</v>
      </c>
      <c r="B19" s="4"/>
      <c r="C19" s="4">
        <v>16</v>
      </c>
      <c r="D19" s="4">
        <v>33</v>
      </c>
      <c r="E19" s="4">
        <v>51</v>
      </c>
      <c r="F19" s="4">
        <v>70</v>
      </c>
      <c r="G19" s="4">
        <v>90</v>
      </c>
      <c r="H19" s="4">
        <v>112</v>
      </c>
      <c r="I19" s="4">
        <v>136</v>
      </c>
      <c r="J19" s="4">
        <v>154</v>
      </c>
      <c r="K19" s="4">
        <v>174</v>
      </c>
      <c r="L19" s="4">
        <v>215</v>
      </c>
      <c r="M19" s="4">
        <v>251</v>
      </c>
      <c r="N19" s="4">
        <v>285</v>
      </c>
    </row>
    <row r="20" spans="1:17" x14ac:dyDescent="0.2">
      <c r="A20" s="3" t="s">
        <v>19</v>
      </c>
      <c r="B20" s="4"/>
      <c r="C20" s="4">
        <v>7.9833333333333334</v>
      </c>
      <c r="D20" s="4">
        <v>15.966666666666667</v>
      </c>
      <c r="E20" s="4">
        <v>23.95</v>
      </c>
      <c r="F20" s="4">
        <v>31.933333333333334</v>
      </c>
      <c r="G20" s="4">
        <v>39.916666666666664</v>
      </c>
      <c r="H20" s="4">
        <v>47.9</v>
      </c>
      <c r="I20" s="4">
        <v>55.883333333333333</v>
      </c>
      <c r="J20" s="4">
        <v>63.866666666666667</v>
      </c>
      <c r="K20" s="4">
        <v>71.849999999999994</v>
      </c>
      <c r="L20" s="4">
        <v>79.833333333333329</v>
      </c>
      <c r="M20" s="4">
        <v>87.816666666666663</v>
      </c>
      <c r="N20" s="4">
        <v>95.8</v>
      </c>
    </row>
    <row r="21" spans="1:17" x14ac:dyDescent="0.2">
      <c r="A21" s="3" t="s">
        <v>20</v>
      </c>
      <c r="B21" s="4"/>
      <c r="C21" s="4"/>
      <c r="D21" s="4"/>
      <c r="E21" s="4"/>
      <c r="F21" s="4">
        <v>-54</v>
      </c>
      <c r="G21" s="4">
        <v>-144</v>
      </c>
      <c r="H21" s="4">
        <v>-234</v>
      </c>
      <c r="I21" s="4">
        <v>-306</v>
      </c>
      <c r="J21" s="4">
        <v>-333</v>
      </c>
      <c r="K21" s="4">
        <v>-252</v>
      </c>
      <c r="L21" s="4">
        <v>-243</v>
      </c>
      <c r="M21" s="4">
        <v>-285</v>
      </c>
      <c r="N21" s="4">
        <v>-313</v>
      </c>
    </row>
    <row r="22" spans="1:17" x14ac:dyDescent="0.2">
      <c r="A22" s="3" t="s">
        <v>21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7" x14ac:dyDescent="0.2">
      <c r="A23" s="3" t="s">
        <v>22</v>
      </c>
      <c r="B23" s="4"/>
      <c r="C23" s="4">
        <v>0</v>
      </c>
      <c r="D23" s="4">
        <v>0</v>
      </c>
      <c r="E23" s="4">
        <v>0</v>
      </c>
      <c r="F23" s="4">
        <v>16.041666666666668</v>
      </c>
      <c r="G23" s="4">
        <v>31.900408415634846</v>
      </c>
      <c r="H23" s="4">
        <v>47.567841188176693</v>
      </c>
      <c r="I23" s="4">
        <v>63.035196656205997</v>
      </c>
      <c r="J23" s="4">
        <v>78.293304609932605</v>
      </c>
      <c r="K23" s="4">
        <v>93.332574538284305</v>
      </c>
      <c r="L23" s="4">
        <v>108.14297636509809</v>
      </c>
      <c r="M23" s="4">
        <v>122.7140203023868</v>
      </c>
      <c r="N23" s="4">
        <v>137.03473578021385</v>
      </c>
      <c r="O23" s="4"/>
      <c r="P23" s="4"/>
      <c r="Q23" s="4"/>
    </row>
    <row r="24" spans="1:17" x14ac:dyDescent="0.2">
      <c r="A24" s="3" t="s">
        <v>23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115</v>
      </c>
    </row>
    <row r="25" spans="1:17" x14ac:dyDescent="0.2">
      <c r="A25" s="3" t="s">
        <v>25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7" x14ac:dyDescent="0.2">
      <c r="A26" s="3" t="s">
        <v>26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7" x14ac:dyDescent="0.2">
      <c r="A27" s="9" t="s">
        <v>24</v>
      </c>
      <c r="B27" s="10">
        <f>ROUND(SUM(B2:B24),0)</f>
        <v>0</v>
      </c>
      <c r="C27" s="10">
        <f t="shared" ref="C27:N27" si="0">ROUND(SUM(C2:C24),0)</f>
        <v>0</v>
      </c>
      <c r="D27" s="10">
        <f t="shared" si="0"/>
        <v>0</v>
      </c>
      <c r="E27" s="10">
        <f t="shared" si="0"/>
        <v>0</v>
      </c>
      <c r="F27" s="10">
        <f t="shared" si="0"/>
        <v>0</v>
      </c>
      <c r="G27" s="10">
        <f t="shared" si="0"/>
        <v>0</v>
      </c>
      <c r="H27" s="10">
        <f t="shared" si="0"/>
        <v>0</v>
      </c>
      <c r="I27" s="10">
        <f t="shared" si="0"/>
        <v>0</v>
      </c>
      <c r="J27" s="10">
        <f t="shared" si="0"/>
        <v>0</v>
      </c>
      <c r="K27" s="10">
        <f t="shared" si="0"/>
        <v>0</v>
      </c>
      <c r="L27" s="10">
        <f t="shared" si="0"/>
        <v>0</v>
      </c>
      <c r="M27" s="10">
        <f t="shared" si="0"/>
        <v>0</v>
      </c>
      <c r="N27" s="10">
        <f t="shared" si="0"/>
        <v>0</v>
      </c>
    </row>
    <row r="29" spans="1:17" x14ac:dyDescent="0.2">
      <c r="B29" s="4"/>
      <c r="C29" s="4"/>
      <c r="D29" s="4"/>
      <c r="E29" s="4"/>
      <c r="F29" s="4"/>
    </row>
    <row r="30" spans="1:17" x14ac:dyDescent="0.2">
      <c r="B30" s="4"/>
      <c r="C30" s="4"/>
      <c r="D30" s="4"/>
      <c r="E30" s="4"/>
      <c r="F30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="130" zoomScaleNormal="130" workbookViewId="0">
      <selection activeCell="C2" sqref="C2:C12"/>
    </sheetView>
  </sheetViews>
  <sheetFormatPr baseColWidth="10" defaultRowHeight="12.75" x14ac:dyDescent="0.2"/>
  <cols>
    <col min="1" max="1" width="34.85546875" style="3" customWidth="1"/>
    <col min="2" max="4" width="11.42578125" style="3"/>
    <col min="5" max="8" width="14.7109375" style="3" customWidth="1"/>
    <col min="9" max="9" width="17.42578125" style="3" bestFit="1" customWidth="1"/>
    <col min="10" max="16384" width="11.42578125" style="3"/>
  </cols>
  <sheetData>
    <row r="1" spans="1:9" x14ac:dyDescent="0.2">
      <c r="A1" s="1" t="s">
        <v>0</v>
      </c>
      <c r="B1" s="2">
        <v>43070</v>
      </c>
      <c r="C1" s="2" t="s">
        <v>27</v>
      </c>
      <c r="D1" s="2" t="s">
        <v>34</v>
      </c>
      <c r="E1" s="2" t="s">
        <v>33</v>
      </c>
      <c r="F1" s="2" t="s">
        <v>35</v>
      </c>
      <c r="G1" s="2" t="s">
        <v>36</v>
      </c>
      <c r="H1" s="2" t="s">
        <v>37</v>
      </c>
      <c r="I1" s="25" t="s">
        <v>51</v>
      </c>
    </row>
    <row r="2" spans="1:9" x14ac:dyDescent="0.2">
      <c r="A2" s="3" t="s">
        <v>1</v>
      </c>
      <c r="B2" s="4">
        <v>1912.3</v>
      </c>
      <c r="C2" s="3" t="s">
        <v>28</v>
      </c>
      <c r="D2" s="24">
        <f>IF(C2="Cierre",'ipc empalme ipim'!$A$303,"")</f>
        <v>43070</v>
      </c>
      <c r="E2" s="3">
        <f>'ipc empalme ipim'!$B$303</f>
        <v>124.79559999999999</v>
      </c>
      <c r="F2" s="3">
        <f>VLOOKUP(D2,'ipc empalme ipim'!$A:$B,2,FALSE)</f>
        <v>124.79559999999999</v>
      </c>
      <c r="G2" s="32">
        <f>E2/F2</f>
        <v>1</v>
      </c>
      <c r="H2" s="4">
        <f>B2*G2</f>
        <v>1912.3</v>
      </c>
    </row>
    <row r="3" spans="1:9" x14ac:dyDescent="0.2">
      <c r="A3" s="3" t="s">
        <v>2</v>
      </c>
      <c r="B3" s="4">
        <v>0</v>
      </c>
      <c r="C3" s="3" t="s">
        <v>28</v>
      </c>
      <c r="D3" s="24">
        <f>IF(C3="Cierre",'ipc empalme ipim'!$A$303,"")</f>
        <v>43070</v>
      </c>
      <c r="E3" s="3">
        <f>'ipc empalme ipim'!$B$303</f>
        <v>124.79559999999999</v>
      </c>
      <c r="F3" s="3">
        <f>VLOOKUP(D3,'ipc empalme ipim'!$A:$B,2,FALSE)</f>
        <v>124.79559999999999</v>
      </c>
      <c r="G3" s="32">
        <f t="shared" ref="G3:G5" si="0">E3/F3</f>
        <v>1</v>
      </c>
      <c r="H3" s="4">
        <f t="shared" ref="H3:H5" si="1">B3*G3</f>
        <v>0</v>
      </c>
    </row>
    <row r="4" spans="1:9" x14ac:dyDescent="0.2">
      <c r="A4" s="3" t="s">
        <v>3</v>
      </c>
      <c r="B4" s="4">
        <v>237</v>
      </c>
      <c r="C4" s="3" t="s">
        <v>28</v>
      </c>
      <c r="D4" s="24">
        <f>IF(C4="Cierre",'ipc empalme ipim'!$A$303,"")</f>
        <v>43070</v>
      </c>
      <c r="E4" s="3">
        <f>'ipc empalme ipim'!$B$303</f>
        <v>124.79559999999999</v>
      </c>
      <c r="F4" s="3">
        <f>VLOOKUP(D4,'ipc empalme ipim'!$A:$B,2,FALSE)</f>
        <v>124.79559999999999</v>
      </c>
      <c r="G4" s="32">
        <f t="shared" si="0"/>
        <v>1</v>
      </c>
      <c r="H4" s="4">
        <f t="shared" si="1"/>
        <v>237</v>
      </c>
    </row>
    <row r="5" spans="1:9" x14ac:dyDescent="0.2">
      <c r="A5" s="3" t="s">
        <v>4</v>
      </c>
      <c r="B5" s="4">
        <v>165</v>
      </c>
      <c r="C5" s="3" t="s">
        <v>28</v>
      </c>
      <c r="D5" s="24">
        <f>IF(C5="Cierre",'ipc empalme ipim'!$A$303,"")</f>
        <v>43070</v>
      </c>
      <c r="E5" s="3">
        <f>'ipc empalme ipim'!$B$303</f>
        <v>124.79559999999999</v>
      </c>
      <c r="F5" s="3">
        <f>VLOOKUP(D5,'ipc empalme ipim'!$A:$B,2,FALSE)</f>
        <v>124.79559999999999</v>
      </c>
      <c r="G5" s="32">
        <f t="shared" si="0"/>
        <v>1</v>
      </c>
      <c r="H5" s="4">
        <f t="shared" si="1"/>
        <v>165</v>
      </c>
    </row>
    <row r="6" spans="1:9" x14ac:dyDescent="0.2">
      <c r="A6" s="3" t="s">
        <v>5</v>
      </c>
      <c r="B6" s="4">
        <v>0</v>
      </c>
      <c r="C6" s="3" t="s">
        <v>29</v>
      </c>
      <c r="H6" s="4">
        <v>0</v>
      </c>
    </row>
    <row r="7" spans="1:9" x14ac:dyDescent="0.2">
      <c r="A7" s="3" t="s">
        <v>6</v>
      </c>
      <c r="B7" s="4">
        <v>1143</v>
      </c>
      <c r="C7" s="3" t="s">
        <v>29</v>
      </c>
      <c r="D7" s="24" t="s">
        <v>43</v>
      </c>
      <c r="H7" s="4">
        <f>'AUX-BU paso 1.2'!G7</f>
        <v>2475.2973295056049</v>
      </c>
    </row>
    <row r="8" spans="1:9" x14ac:dyDescent="0.2">
      <c r="A8" s="3" t="s">
        <v>7</v>
      </c>
      <c r="B8" s="4">
        <v>-219.3</v>
      </c>
      <c r="C8" s="3" t="s">
        <v>29</v>
      </c>
      <c r="D8" s="24" t="s">
        <v>43</v>
      </c>
      <c r="H8" s="4">
        <f>'AUX-BU paso 1.2'!G15</f>
        <v>-885.20968191869633</v>
      </c>
    </row>
    <row r="9" spans="1:9" x14ac:dyDescent="0.2">
      <c r="A9" s="3" t="s">
        <v>8</v>
      </c>
      <c r="B9" s="4">
        <v>-364</v>
      </c>
      <c r="C9" s="3" t="s">
        <v>28</v>
      </c>
      <c r="D9" s="24">
        <f>IF(C9="Cierre",'ipc empalme ipim'!$A$303,"")</f>
        <v>43070</v>
      </c>
      <c r="E9" s="3">
        <f>'ipc empalme ipim'!$B$303</f>
        <v>124.79559999999999</v>
      </c>
      <c r="F9" s="3">
        <f>VLOOKUP(D9,'ipc empalme ipim'!$A:$B,2,FALSE)</f>
        <v>124.79559999999999</v>
      </c>
      <c r="G9" s="32">
        <f t="shared" ref="G9:G11" si="2">E9/F9</f>
        <v>1</v>
      </c>
      <c r="H9" s="4">
        <f t="shared" ref="H9:H11" si="3">B9*G9</f>
        <v>-364</v>
      </c>
    </row>
    <row r="10" spans="1:9" x14ac:dyDescent="0.2">
      <c r="A10" s="3" t="s">
        <v>9</v>
      </c>
      <c r="B10" s="4">
        <v>0</v>
      </c>
      <c r="C10" s="3" t="s">
        <v>28</v>
      </c>
      <c r="D10" s="24">
        <f>IF(C10="Cierre",'ipc empalme ipim'!$A$303,"")</f>
        <v>43070</v>
      </c>
      <c r="E10" s="3">
        <f>'ipc empalme ipim'!$B$303</f>
        <v>124.79559999999999</v>
      </c>
      <c r="F10" s="3">
        <f>VLOOKUP(D10,'ipc empalme ipim'!$A:$B,2,FALSE)</f>
        <v>124.79559999999999</v>
      </c>
      <c r="G10" s="32">
        <f t="shared" si="2"/>
        <v>1</v>
      </c>
      <c r="H10" s="4">
        <f t="shared" si="3"/>
        <v>0</v>
      </c>
    </row>
    <row r="11" spans="1:9" x14ac:dyDescent="0.2">
      <c r="A11" s="3" t="s">
        <v>10</v>
      </c>
      <c r="B11" s="4">
        <v>-74</v>
      </c>
      <c r="C11" s="3" t="s">
        <v>28</v>
      </c>
      <c r="D11" s="24">
        <f>IF(C11="Cierre",'ipc empalme ipim'!$A$303,"")</f>
        <v>43070</v>
      </c>
      <c r="E11" s="3">
        <f>'ipc empalme ipim'!$B$303</f>
        <v>124.79559999999999</v>
      </c>
      <c r="F11" s="3">
        <f>VLOOKUP(D11,'ipc empalme ipim'!$A:$B,2,FALSE)</f>
        <v>124.79559999999999</v>
      </c>
      <c r="G11" s="32">
        <f t="shared" si="2"/>
        <v>1</v>
      </c>
      <c r="H11" s="4">
        <f t="shared" si="3"/>
        <v>-74</v>
      </c>
    </row>
    <row r="12" spans="1:9" ht="13.5" thickBot="1" x14ac:dyDescent="0.25">
      <c r="A12" s="5" t="s">
        <v>11</v>
      </c>
      <c r="B12" s="6">
        <v>0</v>
      </c>
      <c r="C12" s="3" t="s">
        <v>28</v>
      </c>
      <c r="D12" s="24" t="s">
        <v>44</v>
      </c>
      <c r="G12" s="32"/>
      <c r="H12" s="4">
        <f>'AUX-PID paso 1.2'!F2</f>
        <v>-166.59691189672714</v>
      </c>
    </row>
    <row r="13" spans="1:9" x14ac:dyDescent="0.2">
      <c r="A13" s="3" t="s">
        <v>12</v>
      </c>
      <c r="B13" s="4">
        <v>-1970</v>
      </c>
      <c r="D13" s="26">
        <v>37653</v>
      </c>
      <c r="E13" s="3">
        <f>'ipc empalme ipim'!$B$303</f>
        <v>124.79559999999999</v>
      </c>
      <c r="F13" s="3">
        <f>VLOOKUP(D13,'ipc empalme ipim'!$A:$B,2,FALSE)</f>
        <v>16.588679111930272</v>
      </c>
      <c r="G13" s="32">
        <f t="shared" ref="G13" si="4">E13/F13</f>
        <v>7.5229377310848875</v>
      </c>
      <c r="H13" s="4">
        <f t="shared" ref="H13" si="5">B13*G13</f>
        <v>-14820.187330237228</v>
      </c>
    </row>
    <row r="14" spans="1:9" x14ac:dyDescent="0.2">
      <c r="A14" s="3" t="s">
        <v>13</v>
      </c>
      <c r="B14" s="4">
        <v>0</v>
      </c>
      <c r="H14" s="4">
        <v>0</v>
      </c>
    </row>
    <row r="15" spans="1:9" x14ac:dyDescent="0.2">
      <c r="A15" s="3" t="s">
        <v>14</v>
      </c>
      <c r="B15" s="4">
        <v>-180</v>
      </c>
      <c r="H15" s="4">
        <f>B15</f>
        <v>-180</v>
      </c>
      <c r="I15" s="40" t="s">
        <v>52</v>
      </c>
    </row>
    <row r="16" spans="1:9" ht="13.5" thickBot="1" x14ac:dyDescent="0.25">
      <c r="A16" s="7" t="s">
        <v>15</v>
      </c>
      <c r="B16" s="8">
        <v>-650</v>
      </c>
      <c r="H16" s="4">
        <f>-SUM(H2:H15)</f>
        <v>11700.396594547046</v>
      </c>
    </row>
    <row r="17" spans="1:8" x14ac:dyDescent="0.2">
      <c r="A17" s="9" t="s">
        <v>24</v>
      </c>
      <c r="B17" s="10">
        <f>ROUND(SUM(B2:B16),0)</f>
        <v>0</v>
      </c>
      <c r="H17" s="10">
        <f>ROUND(SUM(H2:H16),0)</f>
        <v>0</v>
      </c>
    </row>
    <row r="19" spans="1:8" x14ac:dyDescent="0.2">
      <c r="B19" s="4"/>
    </row>
    <row r="20" spans="1:8" hidden="1" x14ac:dyDescent="0.2">
      <c r="A20" s="41" t="s">
        <v>48</v>
      </c>
      <c r="B20" s="4" t="s">
        <v>39</v>
      </c>
      <c r="D20" s="3" t="s">
        <v>59</v>
      </c>
      <c r="E20" s="3" t="s">
        <v>60</v>
      </c>
    </row>
    <row r="21" spans="1:8" hidden="1" x14ac:dyDescent="0.2">
      <c r="A21" s="3" t="s">
        <v>53</v>
      </c>
      <c r="B21" s="4">
        <v>100</v>
      </c>
      <c r="C21" s="3">
        <v>100</v>
      </c>
      <c r="D21" s="3">
        <f>B21*C24/C21</f>
        <v>120</v>
      </c>
      <c r="E21" s="3">
        <f>D21*C27/C24</f>
        <v>150</v>
      </c>
    </row>
    <row r="22" spans="1:8" hidden="1" x14ac:dyDescent="0.2">
      <c r="A22" s="3" t="s">
        <v>54</v>
      </c>
      <c r="B22" s="4">
        <f>-B21/10</f>
        <v>-10</v>
      </c>
      <c r="C22" s="3">
        <v>100</v>
      </c>
      <c r="D22" s="3">
        <f>B22*C24/C22</f>
        <v>-12</v>
      </c>
      <c r="E22" s="3">
        <f>D22*C27/C24</f>
        <v>-15</v>
      </c>
    </row>
    <row r="23" spans="1:8" hidden="1" x14ac:dyDescent="0.2">
      <c r="A23" s="3" t="s">
        <v>56</v>
      </c>
      <c r="B23" s="4">
        <f>B24-B22-B21</f>
        <v>40</v>
      </c>
      <c r="C23" s="4"/>
      <c r="D23" s="4">
        <f>D24-D22-D21</f>
        <v>22</v>
      </c>
      <c r="E23" s="3">
        <f>D23*C27/C24</f>
        <v>27.5</v>
      </c>
    </row>
    <row r="24" spans="1:8" hidden="1" x14ac:dyDescent="0.2">
      <c r="A24" s="3" t="s">
        <v>55</v>
      </c>
      <c r="B24" s="4">
        <v>130</v>
      </c>
      <c r="C24" s="3">
        <v>120</v>
      </c>
      <c r="D24" s="3">
        <f>B24*C24/C24</f>
        <v>130</v>
      </c>
      <c r="E24" s="3">
        <f>D24*C27/C24</f>
        <v>162.5</v>
      </c>
    </row>
    <row r="25" spans="1:8" hidden="1" x14ac:dyDescent="0.2">
      <c r="A25" s="3" t="s">
        <v>54</v>
      </c>
      <c r="B25" s="4">
        <f>-B24/9</f>
        <v>-14.444444444444445</v>
      </c>
      <c r="C25" s="3">
        <v>120</v>
      </c>
      <c r="E25" s="4">
        <f>-E24/9</f>
        <v>-18.055555555555557</v>
      </c>
      <c r="F25" s="4"/>
    </row>
    <row r="26" spans="1:8" hidden="1" x14ac:dyDescent="0.2">
      <c r="A26" s="3" t="s">
        <v>57</v>
      </c>
      <c r="B26" s="4">
        <f>B27-B25-B24</f>
        <v>16.444444444444457</v>
      </c>
      <c r="C26" s="4"/>
      <c r="E26" s="4">
        <f>E27-E25-E24</f>
        <v>-12.444444444444457</v>
      </c>
    </row>
    <row r="27" spans="1:8" hidden="1" x14ac:dyDescent="0.2">
      <c r="A27" s="3" t="s">
        <v>55</v>
      </c>
      <c r="B27" s="3">
        <v>132</v>
      </c>
      <c r="C27" s="4">
        <v>150</v>
      </c>
      <c r="E27" s="3">
        <f>B27*C27/C27</f>
        <v>132</v>
      </c>
    </row>
    <row r="28" spans="1:8" hidden="1" x14ac:dyDescent="0.2"/>
    <row r="29" spans="1:8" hidden="1" x14ac:dyDescent="0.2">
      <c r="A29" s="3" t="s">
        <v>58</v>
      </c>
      <c r="B29" s="42">
        <f>B23+B26</f>
        <v>56.444444444444457</v>
      </c>
      <c r="E29" s="42">
        <f>E26+E23</f>
        <v>15.055555555555543</v>
      </c>
      <c r="F29" s="4">
        <f>E29-B29</f>
        <v>-41.388888888888914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="120" zoomScaleNormal="120" workbookViewId="0">
      <selection activeCell="D21" sqref="D21"/>
    </sheetView>
  </sheetViews>
  <sheetFormatPr baseColWidth="10" defaultColWidth="14" defaultRowHeight="12.75" x14ac:dyDescent="0.2"/>
  <cols>
    <col min="1" max="16384" width="14" style="3"/>
  </cols>
  <sheetData>
    <row r="1" spans="1:7" x14ac:dyDescent="0.2">
      <c r="A1" s="25" t="s">
        <v>38</v>
      </c>
      <c r="B1" s="25" t="s">
        <v>39</v>
      </c>
      <c r="C1" s="2" t="s">
        <v>34</v>
      </c>
      <c r="D1" s="2" t="s">
        <v>33</v>
      </c>
      <c r="E1" s="2" t="s">
        <v>35</v>
      </c>
      <c r="F1" s="2" t="s">
        <v>36</v>
      </c>
      <c r="G1" s="2" t="s">
        <v>37</v>
      </c>
    </row>
    <row r="2" spans="1:7" x14ac:dyDescent="0.2">
      <c r="A2" s="26">
        <v>37653</v>
      </c>
      <c r="B2" s="4">
        <f>[1]INFORMACIÓN_ADICIONAL!B14</f>
        <v>130</v>
      </c>
      <c r="C2" s="26">
        <f>A2</f>
        <v>37653</v>
      </c>
      <c r="D2" s="3">
        <f>'ipc empalme ipim'!$B$303</f>
        <v>124.79559999999999</v>
      </c>
      <c r="E2" s="33">
        <f>VLOOKUP(C2,'ipc empalme ipim'!$A:$B,2,FALSE)</f>
        <v>16.588679111930272</v>
      </c>
      <c r="F2" s="32">
        <f>D2/E2</f>
        <v>7.5229377310848875</v>
      </c>
      <c r="G2" s="4">
        <f>B2*F2</f>
        <v>977.98190504103536</v>
      </c>
    </row>
    <row r="3" spans="1:7" x14ac:dyDescent="0.2">
      <c r="A3" s="26">
        <v>42125</v>
      </c>
      <c r="B3" s="4">
        <v>180</v>
      </c>
      <c r="C3" s="26">
        <f t="shared" ref="C3:C6" si="0">A3</f>
        <v>42125</v>
      </c>
      <c r="D3" s="3">
        <f>'ipc empalme ipim'!$B$303</f>
        <v>124.79559999999999</v>
      </c>
      <c r="E3" s="33">
        <f>VLOOKUP(C3,'ipc empalme ipim'!$A:$B,2,FALSE)</f>
        <v>65.752820320822565</v>
      </c>
      <c r="F3" s="32">
        <f t="shared" ref="F3:F6" si="1">D3/E3</f>
        <v>1.8979505273096215</v>
      </c>
      <c r="G3" s="4">
        <f t="shared" ref="G3:G6" si="2">B3*F3</f>
        <v>341.63109491573186</v>
      </c>
    </row>
    <row r="4" spans="1:7" x14ac:dyDescent="0.2">
      <c r="A4" s="26">
        <v>42278</v>
      </c>
      <c r="B4" s="4">
        <v>240</v>
      </c>
      <c r="C4" s="26">
        <f t="shared" si="0"/>
        <v>42278</v>
      </c>
      <c r="D4" s="3">
        <f>'ipc empalme ipim'!$B$303</f>
        <v>124.79559999999999</v>
      </c>
      <c r="E4" s="33">
        <f>VLOOKUP(C4,'ipc empalme ipim'!$A:$B,2,FALSE)</f>
        <v>70.109975762601096</v>
      </c>
      <c r="F4" s="32">
        <f t="shared" si="1"/>
        <v>1.7799977626945631</v>
      </c>
      <c r="G4" s="4">
        <f t="shared" si="2"/>
        <v>427.19946304669514</v>
      </c>
    </row>
    <row r="5" spans="1:7" x14ac:dyDescent="0.2">
      <c r="A5" s="26">
        <v>42736</v>
      </c>
      <c r="B5" s="4">
        <v>258</v>
      </c>
      <c r="C5" s="26">
        <f t="shared" si="0"/>
        <v>42736</v>
      </c>
      <c r="D5" s="3">
        <f>'ipc empalme ipim'!$B$303</f>
        <v>124.79559999999999</v>
      </c>
      <c r="E5" s="33">
        <f>VLOOKUP(C5,'ipc empalme ipim'!$A:$B,2,FALSE)</f>
        <v>101.5859</v>
      </c>
      <c r="F5" s="32">
        <f t="shared" si="1"/>
        <v>1.2284736365972049</v>
      </c>
      <c r="G5" s="4">
        <f t="shared" si="2"/>
        <v>316.94619824207888</v>
      </c>
    </row>
    <row r="6" spans="1:7" x14ac:dyDescent="0.2">
      <c r="A6" s="27">
        <v>42736</v>
      </c>
      <c r="B6" s="28">
        <v>335</v>
      </c>
      <c r="C6" s="26">
        <f t="shared" si="0"/>
        <v>42736</v>
      </c>
      <c r="D6" s="3">
        <f>'ipc empalme ipim'!$B$303</f>
        <v>124.79559999999999</v>
      </c>
      <c r="E6" s="33">
        <f>VLOOKUP(C6,'ipc empalme ipim'!$A:$B,2,FALSE)</f>
        <v>101.5859</v>
      </c>
      <c r="F6" s="32">
        <f t="shared" si="1"/>
        <v>1.2284736365972049</v>
      </c>
      <c r="G6" s="28">
        <f t="shared" si="2"/>
        <v>411.53866826006362</v>
      </c>
    </row>
    <row r="7" spans="1:7" x14ac:dyDescent="0.2">
      <c r="A7" s="29" t="s">
        <v>40</v>
      </c>
      <c r="B7" s="30">
        <f>SUM(B1:B6)</f>
        <v>1143</v>
      </c>
      <c r="G7" s="30">
        <f>SUM(G1:G6)</f>
        <v>2475.2973295056049</v>
      </c>
    </row>
    <row r="9" spans="1:7" x14ac:dyDescent="0.2">
      <c r="A9" s="25" t="s">
        <v>41</v>
      </c>
      <c r="B9" s="25" t="s">
        <v>39</v>
      </c>
      <c r="C9" s="2" t="s">
        <v>34</v>
      </c>
      <c r="D9" s="2" t="s">
        <v>33</v>
      </c>
      <c r="E9" s="2" t="s">
        <v>35</v>
      </c>
      <c r="F9" s="2" t="s">
        <v>36</v>
      </c>
      <c r="G9" s="2" t="s">
        <v>37</v>
      </c>
    </row>
    <row r="10" spans="1:7" x14ac:dyDescent="0.2">
      <c r="A10" s="26">
        <v>37653</v>
      </c>
      <c r="B10" s="4">
        <f>[1]INFORMACIÓN_ADICIONAL!C14</f>
        <v>-91</v>
      </c>
      <c r="C10" s="26">
        <f t="shared" ref="C10:C14" si="3">A10</f>
        <v>37653</v>
      </c>
      <c r="D10" s="3">
        <f>'ipc empalme ipim'!$B$303</f>
        <v>124.79559999999999</v>
      </c>
      <c r="E10" s="33">
        <f>VLOOKUP(C10,'ipc empalme ipim'!$A:$B,2,FALSE)</f>
        <v>16.588679111930272</v>
      </c>
      <c r="F10" s="32">
        <f>D10/E10</f>
        <v>7.5229377310848875</v>
      </c>
      <c r="G10" s="4">
        <f>B10*F10</f>
        <v>-684.5873335287248</v>
      </c>
    </row>
    <row r="11" spans="1:7" x14ac:dyDescent="0.2">
      <c r="A11" s="26">
        <v>42125</v>
      </c>
      <c r="B11" s="4">
        <f>[1]INFORMACIÓN_ADICIONAL!C16</f>
        <v>-42</v>
      </c>
      <c r="C11" s="26">
        <f t="shared" si="3"/>
        <v>42125</v>
      </c>
      <c r="D11" s="3">
        <f>'ipc empalme ipim'!$B$303</f>
        <v>124.79559999999999</v>
      </c>
      <c r="E11" s="33">
        <f>VLOOKUP(C11,'ipc empalme ipim'!$A:$B,2,FALSE)</f>
        <v>65.752820320822565</v>
      </c>
      <c r="F11" s="32">
        <f t="shared" ref="F11:F14" si="4">D11/E11</f>
        <v>1.8979505273096215</v>
      </c>
      <c r="G11" s="4">
        <f t="shared" ref="G11:G14" si="5">B11*F11</f>
        <v>-79.713922147004098</v>
      </c>
    </row>
    <row r="12" spans="1:7" x14ac:dyDescent="0.2">
      <c r="A12" s="26">
        <v>42278</v>
      </c>
      <c r="B12" s="4">
        <f>[1]INFORMACIÓN_ADICIONAL!C17</f>
        <v>-27</v>
      </c>
      <c r="C12" s="26">
        <f t="shared" si="3"/>
        <v>42278</v>
      </c>
      <c r="D12" s="3">
        <f>'ipc empalme ipim'!$B$303</f>
        <v>124.79559999999999</v>
      </c>
      <c r="E12" s="33">
        <f>VLOOKUP(C12,'ipc empalme ipim'!$A:$B,2,FALSE)</f>
        <v>70.109975762601096</v>
      </c>
      <c r="F12" s="32">
        <f t="shared" si="4"/>
        <v>1.7799977626945631</v>
      </c>
      <c r="G12" s="4">
        <f t="shared" si="5"/>
        <v>-48.059939592753203</v>
      </c>
    </row>
    <row r="13" spans="1:7" x14ac:dyDescent="0.2">
      <c r="A13" s="26">
        <v>42736</v>
      </c>
      <c r="B13" s="4">
        <f>[1]INFORMACIÓN_ADICIONAL!C18</f>
        <v>-25.8</v>
      </c>
      <c r="C13" s="26">
        <f t="shared" si="3"/>
        <v>42736</v>
      </c>
      <c r="D13" s="3">
        <f>'ipc empalme ipim'!$B$303</f>
        <v>124.79559999999999</v>
      </c>
      <c r="E13" s="33">
        <f>VLOOKUP(C13,'ipc empalme ipim'!$A:$B,2,FALSE)</f>
        <v>101.5859</v>
      </c>
      <c r="F13" s="32">
        <f t="shared" si="4"/>
        <v>1.2284736365972049</v>
      </c>
      <c r="G13" s="4">
        <f t="shared" si="5"/>
        <v>-31.694619824207887</v>
      </c>
    </row>
    <row r="14" spans="1:7" x14ac:dyDescent="0.2">
      <c r="A14" s="27">
        <v>42736</v>
      </c>
      <c r="B14" s="28">
        <f>[1]INFORMACIÓN_ADICIONAL!C19</f>
        <v>-33.5</v>
      </c>
      <c r="C14" s="26">
        <f t="shared" si="3"/>
        <v>42736</v>
      </c>
      <c r="D14" s="3">
        <f>'ipc empalme ipim'!$B$303</f>
        <v>124.79559999999999</v>
      </c>
      <c r="E14" s="33">
        <f>VLOOKUP(C14,'ipc empalme ipim'!$A:$B,2,FALSE)</f>
        <v>101.5859</v>
      </c>
      <c r="F14" s="32">
        <f t="shared" si="4"/>
        <v>1.2284736365972049</v>
      </c>
      <c r="G14" s="28">
        <f t="shared" si="5"/>
        <v>-41.153866826006364</v>
      </c>
    </row>
    <row r="15" spans="1:7" x14ac:dyDescent="0.2">
      <c r="A15" s="29" t="s">
        <v>40</v>
      </c>
      <c r="B15" s="30">
        <f>SUM(B9:B14)</f>
        <v>-219.3</v>
      </c>
      <c r="G15" s="30">
        <f>SUM(G9:G14)</f>
        <v>-885.20968191869633</v>
      </c>
    </row>
    <row r="17" spans="1:7" x14ac:dyDescent="0.2">
      <c r="A17" s="31" t="s">
        <v>42</v>
      </c>
      <c r="B17" s="30">
        <f>B7+B15</f>
        <v>923.7</v>
      </c>
      <c r="G17" s="30">
        <f>G7+G15</f>
        <v>1590.0876475869086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zoomScale="140" zoomScaleNormal="140" workbookViewId="0">
      <selection activeCell="C6" sqref="C6"/>
    </sheetView>
  </sheetViews>
  <sheetFormatPr baseColWidth="10" defaultRowHeight="12.75" x14ac:dyDescent="0.2"/>
  <cols>
    <col min="1" max="1" width="12.85546875" style="3" bestFit="1" customWidth="1"/>
    <col min="2" max="3" width="14.7109375" style="3" customWidth="1"/>
    <col min="4" max="6" width="13.7109375" style="3" customWidth="1"/>
    <col min="7" max="16384" width="11.42578125" style="3"/>
  </cols>
  <sheetData>
    <row r="1" spans="1:6" ht="25.5" x14ac:dyDescent="0.2">
      <c r="B1" s="25" t="s">
        <v>45</v>
      </c>
      <c r="C1" s="25" t="s">
        <v>46</v>
      </c>
      <c r="D1" s="25" t="s">
        <v>47</v>
      </c>
      <c r="E1" s="25" t="s">
        <v>49</v>
      </c>
      <c r="F1" s="37" t="s">
        <v>50</v>
      </c>
    </row>
    <row r="2" spans="1:6" x14ac:dyDescent="0.2">
      <c r="A2" s="39" t="s">
        <v>48</v>
      </c>
      <c r="B2" s="4">
        <f>'AUX-BU paso 1.2'!G17</f>
        <v>1590.0876475869086</v>
      </c>
      <c r="C2" s="4">
        <f>'AUX-BU paso 1.2'!B17</f>
        <v>923.7</v>
      </c>
      <c r="D2" s="4">
        <f>B2-C2</f>
        <v>666.38764758690854</v>
      </c>
      <c r="E2" s="36">
        <v>0.25</v>
      </c>
      <c r="F2" s="38">
        <f>-D2*E2</f>
        <v>-166.59691189672714</v>
      </c>
    </row>
    <row r="3" spans="1:6" x14ac:dyDescent="0.2">
      <c r="B3" s="4"/>
      <c r="C3" s="4"/>
      <c r="D3" s="4"/>
    </row>
    <row r="4" spans="1:6" x14ac:dyDescent="0.2">
      <c r="B4" s="4"/>
      <c r="C4" s="4"/>
      <c r="D4" s="4"/>
    </row>
    <row r="5" spans="1:6" x14ac:dyDescent="0.2">
      <c r="B5" s="4"/>
      <c r="C5" s="4"/>
      <c r="D5" s="4"/>
    </row>
    <row r="6" spans="1:6" x14ac:dyDescent="0.2">
      <c r="B6" s="4"/>
      <c r="C6" s="4"/>
      <c r="D6" s="4"/>
    </row>
    <row r="7" spans="1:6" x14ac:dyDescent="0.2">
      <c r="B7" s="4"/>
      <c r="C7" s="4"/>
      <c r="D7" s="4"/>
    </row>
    <row r="8" spans="1:6" x14ac:dyDescent="0.2">
      <c r="B8" s="4"/>
      <c r="C8" s="4"/>
      <c r="D8" s="4"/>
    </row>
    <row r="9" spans="1:6" x14ac:dyDescent="0.2">
      <c r="B9" s="4"/>
      <c r="C9" s="4"/>
      <c r="D9" s="4"/>
    </row>
    <row r="10" spans="1:6" x14ac:dyDescent="0.2">
      <c r="B10" s="4"/>
      <c r="C10" s="4"/>
      <c r="D10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activeCell="C22" sqref="C22:C23"/>
    </sheetView>
  </sheetViews>
  <sheetFormatPr baseColWidth="10" defaultRowHeight="12.75" x14ac:dyDescent="0.2"/>
  <cols>
    <col min="1" max="1" width="42.28515625" style="3" bestFit="1" customWidth="1"/>
    <col min="2" max="16384" width="11.42578125" style="3"/>
  </cols>
  <sheetData>
    <row r="1" spans="1:14" x14ac:dyDescent="0.2">
      <c r="A1" s="1" t="s">
        <v>0</v>
      </c>
      <c r="B1" s="2">
        <v>43070</v>
      </c>
      <c r="C1" s="2">
        <v>43101</v>
      </c>
      <c r="D1" s="2">
        <v>43132</v>
      </c>
      <c r="E1" s="2">
        <v>43160</v>
      </c>
      <c r="F1" s="2">
        <v>43191</v>
      </c>
      <c r="G1" s="2">
        <v>43221</v>
      </c>
      <c r="H1" s="2">
        <v>43252</v>
      </c>
      <c r="I1" s="2">
        <v>43282</v>
      </c>
      <c r="J1" s="2">
        <v>43313</v>
      </c>
      <c r="K1" s="2">
        <v>43344</v>
      </c>
      <c r="L1" s="2">
        <v>43374</v>
      </c>
      <c r="M1" s="2">
        <v>43405</v>
      </c>
      <c r="N1" s="2">
        <v>43435</v>
      </c>
    </row>
    <row r="2" spans="1:14" x14ac:dyDescent="0.2">
      <c r="A2" s="3" t="s">
        <v>1</v>
      </c>
      <c r="B2" s="43">
        <f>'Paso 1.2'!H2</f>
        <v>1912.3</v>
      </c>
      <c r="C2" s="4">
        <f>'Paso 1.1'!C2-'Paso 1.1'!B2</f>
        <v>221.00000000000023</v>
      </c>
      <c r="D2" s="4">
        <f>'Paso 1.1'!D2-'Paso 1.1'!C2</f>
        <v>-264.00000000000023</v>
      </c>
      <c r="E2" s="4">
        <f>'Paso 1.1'!E2-'Paso 1.1'!D2</f>
        <v>-382</v>
      </c>
      <c r="F2" s="4">
        <f>'Paso 1.1'!F2-'Paso 1.1'!E2</f>
        <v>-495.53275578008788</v>
      </c>
      <c r="G2" s="4">
        <f>'Paso 1.1'!G2-'Paso 1.1'!F2</f>
        <v>-73.032755780088337</v>
      </c>
      <c r="H2" s="4">
        <f>'Paso 1.1'!H2-'Paso 1.1'!G2</f>
        <v>1.9672442199116631</v>
      </c>
      <c r="I2" s="4">
        <f>'Paso 1.1'!I2-'Paso 1.1'!H2</f>
        <v>106.46724421991212</v>
      </c>
      <c r="J2" s="4">
        <f>'Paso 1.1'!J2-'Paso 1.1'!I2</f>
        <v>14.967244219911208</v>
      </c>
      <c r="K2" s="4">
        <f>'Paso 1.1'!K2-'Paso 1.1'!J2</f>
        <v>-22.032755780087541</v>
      </c>
      <c r="L2" s="4">
        <f>'Paso 1.1'!L2-'Paso 1.1'!K2</f>
        <v>-365.03275578008879</v>
      </c>
      <c r="M2" s="4">
        <f>'Paso 1.1'!M2-'Paso 1.1'!L2</f>
        <v>129.96724421991212</v>
      </c>
      <c r="N2" s="4">
        <f>'Paso 1.1'!N2-'Paso 1.1'!M2</f>
        <v>-18.032755780087768</v>
      </c>
    </row>
    <row r="3" spans="1:14" x14ac:dyDescent="0.2">
      <c r="A3" s="3" t="s">
        <v>2</v>
      </c>
      <c r="B3" s="43">
        <f>'Paso 1.2'!H3</f>
        <v>0</v>
      </c>
      <c r="C3" s="4">
        <f>'Paso 1.1'!C3-'Paso 1.1'!B3</f>
        <v>0</v>
      </c>
      <c r="D3" s="4">
        <f>'Paso 1.1'!D3-'Paso 1.1'!C3</f>
        <v>0</v>
      </c>
      <c r="E3" s="4">
        <f>'Paso 1.1'!E3-'Paso 1.1'!D3</f>
        <v>400</v>
      </c>
      <c r="F3" s="4">
        <f>'Paso 1.1'!F3-'Paso 1.1'!E3</f>
        <v>50</v>
      </c>
      <c r="G3" s="4">
        <f>'Paso 1.1'!G3-'Paso 1.1'!F3</f>
        <v>90</v>
      </c>
      <c r="H3" s="4">
        <f>'Paso 1.1'!H3-'Paso 1.1'!G3</f>
        <v>90</v>
      </c>
      <c r="I3" s="4">
        <f>'Paso 1.1'!I3-'Paso 1.1'!H3</f>
        <v>72</v>
      </c>
      <c r="J3" s="4">
        <f>'Paso 1.1'!J3-'Paso 1.1'!I3</f>
        <v>27</v>
      </c>
      <c r="K3" s="4">
        <f>'Paso 1.1'!K3-'Paso 1.1'!J3</f>
        <v>-81</v>
      </c>
      <c r="L3" s="4">
        <f>'Paso 1.1'!L3-'Paso 1.1'!K3</f>
        <v>346</v>
      </c>
      <c r="M3" s="4">
        <f>'Paso 1.1'!M3-'Paso 1.1'!L3</f>
        <v>42</v>
      </c>
      <c r="N3" s="4">
        <f>'Paso 1.1'!N3-'Paso 1.1'!M3</f>
        <v>28</v>
      </c>
    </row>
    <row r="4" spans="1:14" x14ac:dyDescent="0.2">
      <c r="A4" s="3" t="s">
        <v>3</v>
      </c>
      <c r="B4" s="43">
        <f>'Paso 1.2'!H4</f>
        <v>237</v>
      </c>
      <c r="C4" s="4">
        <f>'Paso 1.1'!C4-'Paso 1.1'!B4</f>
        <v>-120</v>
      </c>
      <c r="D4" s="4">
        <f>'Paso 1.1'!D4-'Paso 1.1'!C4</f>
        <v>7</v>
      </c>
      <c r="E4" s="4">
        <f>'Paso 1.1'!E4-'Paso 1.1'!D4</f>
        <v>109.5</v>
      </c>
      <c r="F4" s="4">
        <f>'Paso 1.1'!F4-'Paso 1.1'!E4</f>
        <v>-93.5</v>
      </c>
      <c r="G4" s="4">
        <f>'Paso 1.1'!G4-'Paso 1.1'!F4</f>
        <v>10</v>
      </c>
      <c r="H4" s="4">
        <f>'Paso 1.1'!H4-'Paso 1.1'!G4</f>
        <v>114.5</v>
      </c>
      <c r="I4" s="4">
        <f>'Paso 1.1'!I4-'Paso 1.1'!H4</f>
        <v>-89.5</v>
      </c>
      <c r="J4" s="4">
        <f>'Paso 1.1'!J4-'Paso 1.1'!I4</f>
        <v>-44</v>
      </c>
      <c r="K4" s="4">
        <f>'Paso 1.1'!K4-'Paso 1.1'!J4</f>
        <v>19</v>
      </c>
      <c r="L4" s="4">
        <f>'Paso 1.1'!L4-'Paso 1.1'!K4</f>
        <v>150</v>
      </c>
      <c r="M4" s="4">
        <f>'Paso 1.1'!M4-'Paso 1.1'!L4</f>
        <v>-37</v>
      </c>
      <c r="N4" s="4">
        <f>'Paso 1.1'!N4-'Paso 1.1'!M4</f>
        <v>-6</v>
      </c>
    </row>
    <row r="5" spans="1:14" x14ac:dyDescent="0.2">
      <c r="A5" s="3" t="s">
        <v>4</v>
      </c>
      <c r="B5" s="43">
        <f>'Paso 1.2'!H5</f>
        <v>165</v>
      </c>
      <c r="C5" s="4">
        <f>'Paso 1.1'!C5-'Paso 1.1'!B5</f>
        <v>0</v>
      </c>
      <c r="D5" s="4">
        <f>'Paso 1.1'!D5-'Paso 1.1'!C5</f>
        <v>0</v>
      </c>
      <c r="E5" s="4">
        <f>'Paso 1.1'!E5-'Paso 1.1'!D5</f>
        <v>0</v>
      </c>
      <c r="F5" s="4">
        <f>'Paso 1.1'!F5-'Paso 1.1'!E5</f>
        <v>0</v>
      </c>
      <c r="G5" s="4">
        <f>'Paso 1.1'!G5-'Paso 1.1'!F5</f>
        <v>0</v>
      </c>
      <c r="H5" s="4">
        <f>'Paso 1.1'!H5-'Paso 1.1'!G5</f>
        <v>0</v>
      </c>
      <c r="I5" s="4">
        <f>'Paso 1.1'!I5-'Paso 1.1'!H5</f>
        <v>0</v>
      </c>
      <c r="J5" s="4">
        <f>'Paso 1.1'!J5-'Paso 1.1'!I5</f>
        <v>0</v>
      </c>
      <c r="K5" s="4">
        <f>'Paso 1.1'!K5-'Paso 1.1'!J5</f>
        <v>0</v>
      </c>
      <c r="L5" s="4">
        <f>'Paso 1.1'!L5-'Paso 1.1'!K5</f>
        <v>0</v>
      </c>
      <c r="M5" s="4">
        <f>'Paso 1.1'!M5-'Paso 1.1'!L5</f>
        <v>0</v>
      </c>
      <c r="N5" s="4">
        <f>'Paso 1.1'!N5-'Paso 1.1'!M5</f>
        <v>0</v>
      </c>
    </row>
    <row r="6" spans="1:14" x14ac:dyDescent="0.2">
      <c r="A6" s="3" t="s">
        <v>5</v>
      </c>
      <c r="B6" s="43">
        <f>'Paso 1.2'!H6</f>
        <v>0</v>
      </c>
      <c r="C6" s="4">
        <f>'Paso 1.1'!C6-'Paso 1.1'!B6</f>
        <v>88</v>
      </c>
      <c r="D6" s="4">
        <f>'Paso 1.1'!D6-'Paso 1.1'!C6</f>
        <v>94</v>
      </c>
      <c r="E6" s="4">
        <f>'Paso 1.1'!E6-'Paso 1.1'!D6</f>
        <v>99</v>
      </c>
      <c r="F6" s="4">
        <f>'Paso 1.1'!F6-'Paso 1.1'!E6</f>
        <v>106</v>
      </c>
      <c r="G6" s="4">
        <f>'Paso 1.1'!G6-'Paso 1.1'!F6</f>
        <v>114</v>
      </c>
      <c r="H6" s="4">
        <f>'Paso 1.1'!H6-'Paso 1.1'!G6</f>
        <v>122</v>
      </c>
      <c r="I6" s="4">
        <f>'Paso 1.1'!I6-'Paso 1.1'!H6</f>
        <v>113</v>
      </c>
      <c r="J6" s="4">
        <f>'Paso 1.1'!J6-'Paso 1.1'!I6</f>
        <v>99</v>
      </c>
      <c r="K6" s="4">
        <f>'Paso 1.1'!K6-'Paso 1.1'!J6</f>
        <v>114</v>
      </c>
      <c r="L6" s="4">
        <f>'Paso 1.1'!L6-'Paso 1.1'!K6</f>
        <v>227</v>
      </c>
      <c r="M6" s="4">
        <f>'Paso 1.1'!M6-'Paso 1.1'!L6</f>
        <v>199</v>
      </c>
      <c r="N6" s="4">
        <f>'Paso 1.1'!N6-'Paso 1.1'!M6</f>
        <v>215</v>
      </c>
    </row>
    <row r="7" spans="1:14" x14ac:dyDescent="0.2">
      <c r="A7" s="3" t="s">
        <v>6</v>
      </c>
      <c r="B7" s="43">
        <f>'Paso 1.2'!H7</f>
        <v>2475.2973295056049</v>
      </c>
      <c r="C7" s="4">
        <f>'Paso 1.1'!C7-'Paso 1.1'!B7</f>
        <v>0</v>
      </c>
      <c r="D7" s="4">
        <f>'Paso 1.1'!D7-'Paso 1.1'!C7</f>
        <v>0</v>
      </c>
      <c r="E7" s="4">
        <f>'Paso 1.1'!E7-'Paso 1.1'!D7</f>
        <v>0</v>
      </c>
      <c r="F7" s="4">
        <f>'Paso 1.1'!F7-'Paso 1.1'!E7</f>
        <v>350</v>
      </c>
      <c r="G7" s="4">
        <f>'Paso 1.1'!G7-'Paso 1.1'!F7</f>
        <v>0</v>
      </c>
      <c r="H7" s="4">
        <f>'Paso 1.1'!H7-'Paso 1.1'!G7</f>
        <v>0</v>
      </c>
      <c r="I7" s="4">
        <f>'Paso 1.1'!I7-'Paso 1.1'!H7</f>
        <v>0</v>
      </c>
      <c r="J7" s="4">
        <f>'Paso 1.1'!J7-'Paso 1.1'!I7</f>
        <v>0</v>
      </c>
      <c r="K7" s="4">
        <f>'Paso 1.1'!K7-'Paso 1.1'!J7</f>
        <v>0</v>
      </c>
      <c r="L7" s="4">
        <f>'Paso 1.1'!L7-'Paso 1.1'!K7</f>
        <v>0</v>
      </c>
      <c r="M7" s="4">
        <f>'Paso 1.1'!M7-'Paso 1.1'!L7</f>
        <v>0</v>
      </c>
      <c r="N7" s="4">
        <f>'Paso 1.1'!N7-'Paso 1.1'!M7</f>
        <v>0</v>
      </c>
    </row>
    <row r="8" spans="1:14" x14ac:dyDescent="0.2">
      <c r="A8" s="3" t="s">
        <v>7</v>
      </c>
      <c r="B8" s="43">
        <f>'Paso 1.2'!H8</f>
        <v>-885.20968191869633</v>
      </c>
      <c r="C8" s="4">
        <f>'Paso 1.1'!C8-'Paso 1.1'!B8</f>
        <v>-7.9833333333333201</v>
      </c>
      <c r="D8" s="4">
        <f>'Paso 1.1'!D8-'Paso 1.1'!C8</f>
        <v>-7.9833333333333485</v>
      </c>
      <c r="E8" s="4">
        <f>'Paso 1.1'!E8-'Paso 1.1'!D8</f>
        <v>-7.9833333333333201</v>
      </c>
      <c r="F8" s="4">
        <f>'Paso 1.1'!F8-'Paso 1.1'!E8</f>
        <v>-7.9833333333333485</v>
      </c>
      <c r="G8" s="4">
        <f>'Paso 1.1'!G8-'Paso 1.1'!F8</f>
        <v>-7.9833333333333485</v>
      </c>
      <c r="H8" s="4">
        <f>'Paso 1.1'!H8-'Paso 1.1'!G8</f>
        <v>-7.9833333333332916</v>
      </c>
      <c r="I8" s="4">
        <f>'Paso 1.1'!I8-'Paso 1.1'!H8</f>
        <v>-7.9833333333333485</v>
      </c>
      <c r="J8" s="4">
        <f>'Paso 1.1'!J8-'Paso 1.1'!I8</f>
        <v>-7.9833333333333485</v>
      </c>
      <c r="K8" s="4">
        <f>'Paso 1.1'!K8-'Paso 1.1'!J8</f>
        <v>-7.9833333333332916</v>
      </c>
      <c r="L8" s="4">
        <f>'Paso 1.1'!L8-'Paso 1.1'!K8</f>
        <v>-7.9833333333333485</v>
      </c>
      <c r="M8" s="4">
        <f>'Paso 1.1'!M8-'Paso 1.1'!L8</f>
        <v>-7.9833333333333485</v>
      </c>
      <c r="N8" s="4">
        <f>'Paso 1.1'!N8-'Paso 1.1'!M8</f>
        <v>-7.9833333333333485</v>
      </c>
    </row>
    <row r="9" spans="1:14" x14ac:dyDescent="0.2">
      <c r="A9" s="3" t="s">
        <v>8</v>
      </c>
      <c r="B9" s="43">
        <f>'Paso 1.2'!H9</f>
        <v>-364</v>
      </c>
      <c r="C9" s="4">
        <f>'Paso 1.1'!C9-'Paso 1.1'!B9</f>
        <v>-88</v>
      </c>
      <c r="D9" s="4">
        <f>'Paso 1.1'!D9-'Paso 1.1'!C9</f>
        <v>270</v>
      </c>
      <c r="E9" s="4">
        <f>'Paso 1.1'!E9-'Paso 1.1'!D9</f>
        <v>-11</v>
      </c>
      <c r="F9" s="4">
        <f>'Paso 1.1'!F9-'Paso 1.1'!E9</f>
        <v>-12</v>
      </c>
      <c r="G9" s="4">
        <f>'Paso 1.1'!G9-'Paso 1.1'!F9</f>
        <v>-15</v>
      </c>
      <c r="H9" s="4">
        <f>'Paso 1.1'!H9-'Paso 1.1'!G9</f>
        <v>-16</v>
      </c>
      <c r="I9" s="4">
        <f>'Paso 1.1'!I9-'Paso 1.1'!H9</f>
        <v>1</v>
      </c>
      <c r="J9" s="4">
        <f>'Paso 1.1'!J9-'Paso 1.1'!I9</f>
        <v>23</v>
      </c>
      <c r="K9" s="4">
        <f>'Paso 1.1'!K9-'Paso 1.1'!J9</f>
        <v>-1</v>
      </c>
      <c r="L9" s="4">
        <f>'Paso 1.1'!L9-'Paso 1.1'!K9</f>
        <v>-128</v>
      </c>
      <c r="M9" s="4">
        <f>'Paso 1.1'!M9-'Paso 1.1'!L9</f>
        <v>-85</v>
      </c>
      <c r="N9" s="4">
        <f>'Paso 1.1'!N9-'Paso 1.1'!M9</f>
        <v>12</v>
      </c>
    </row>
    <row r="10" spans="1:14" x14ac:dyDescent="0.2">
      <c r="A10" s="3" t="s">
        <v>9</v>
      </c>
      <c r="B10" s="43">
        <f>'Paso 1.2'!H10</f>
        <v>0</v>
      </c>
      <c r="C10" s="4">
        <f>'Paso 1.1'!C10-'Paso 1.1'!B10</f>
        <v>0</v>
      </c>
      <c r="D10" s="4">
        <f>'Paso 1.1'!D10-'Paso 1.1'!C10</f>
        <v>0</v>
      </c>
      <c r="E10" s="4">
        <f>'Paso 1.1'!E10-'Paso 1.1'!D10</f>
        <v>0</v>
      </c>
      <c r="F10" s="4">
        <f>'Paso 1.1'!F10-'Paso 1.1'!E10</f>
        <v>-346.00891088657846</v>
      </c>
      <c r="G10" s="4">
        <f>'Paso 1.1'!G10-'Paso 1.1'!F10</f>
        <v>4.1740140311200093</v>
      </c>
      <c r="H10" s="4">
        <f>'Paso 1.1'!H10-'Paso 1.1'!G10</f>
        <v>4.3653230075463512</v>
      </c>
      <c r="I10" s="4">
        <f>'Paso 1.1'!I10-'Paso 1.1'!H10</f>
        <v>4.5654003120588982</v>
      </c>
      <c r="J10" s="4">
        <f>'Paso 1.1'!J10-'Paso 1.1'!I10</f>
        <v>4.7746478263615586</v>
      </c>
      <c r="K10" s="4">
        <f>'Paso 1.1'!K10-'Paso 1.1'!J10</f>
        <v>4.993485851736466</v>
      </c>
      <c r="L10" s="4">
        <f>'Paso 1.1'!L10-'Paso 1.1'!K10</f>
        <v>5.2223539532744212</v>
      </c>
      <c r="M10" s="4">
        <f>'Paso 1.1'!M10-'Paso 1.1'!L10</f>
        <v>5.4617118427995024</v>
      </c>
      <c r="N10" s="4">
        <f>'Paso 1.1'!N10-'Paso 1.1'!M10</f>
        <v>5.7120403022611299</v>
      </c>
    </row>
    <row r="11" spans="1:14" x14ac:dyDescent="0.2">
      <c r="A11" s="3" t="s">
        <v>10</v>
      </c>
      <c r="B11" s="43">
        <f>'Paso 1.2'!H11</f>
        <v>-74</v>
      </c>
      <c r="C11" s="4">
        <f>'Paso 1.1'!C11-'Paso 1.1'!B11</f>
        <v>0</v>
      </c>
      <c r="D11" s="4">
        <f>'Paso 1.1'!D11-'Paso 1.1'!C11</f>
        <v>0</v>
      </c>
      <c r="E11" s="4">
        <f>'Paso 1.1'!E11-'Paso 1.1'!D11</f>
        <v>0</v>
      </c>
      <c r="F11" s="4">
        <f>'Paso 1.1'!F11-'Paso 1.1'!E11</f>
        <v>0</v>
      </c>
      <c r="G11" s="4">
        <f>'Paso 1.1'!G11-'Paso 1.1'!F11</f>
        <v>74</v>
      </c>
      <c r="H11" s="4">
        <f>'Paso 1.1'!H11-'Paso 1.1'!G11</f>
        <v>0</v>
      </c>
      <c r="I11" s="4">
        <f>'Paso 1.1'!I11-'Paso 1.1'!H11</f>
        <v>0</v>
      </c>
      <c r="J11" s="4">
        <f>'Paso 1.1'!J11-'Paso 1.1'!I11</f>
        <v>0</v>
      </c>
      <c r="K11" s="4">
        <f>'Paso 1.1'!K11-'Paso 1.1'!J11</f>
        <v>0</v>
      </c>
      <c r="L11" s="4">
        <f>'Paso 1.1'!L11-'Paso 1.1'!K11</f>
        <v>0</v>
      </c>
      <c r="M11" s="4">
        <f>'Paso 1.1'!M11-'Paso 1.1'!L11</f>
        <v>0</v>
      </c>
      <c r="N11" s="4">
        <f>'Paso 1.1'!N11-'Paso 1.1'!M11</f>
        <v>-115</v>
      </c>
    </row>
    <row r="12" spans="1:14" ht="13.5" thickBot="1" x14ac:dyDescent="0.25">
      <c r="A12" s="5" t="s">
        <v>11</v>
      </c>
      <c r="B12" s="44">
        <f>'Paso 1.2'!H12</f>
        <v>-166.59691189672714</v>
      </c>
      <c r="C12" s="6">
        <f>'Paso 1.1'!C12-'Paso 1.1'!B12</f>
        <v>0</v>
      </c>
      <c r="D12" s="6">
        <f>'Paso 1.1'!D12-'Paso 1.1'!C12</f>
        <v>0</v>
      </c>
      <c r="E12" s="6">
        <f>'Paso 1.1'!E12-'Paso 1.1'!D12</f>
        <v>0</v>
      </c>
      <c r="F12" s="6">
        <f>'Paso 1.1'!F12-'Paso 1.1'!E12</f>
        <v>0</v>
      </c>
      <c r="G12" s="6">
        <f>'Paso 1.1'!G12-'Paso 1.1'!F12</f>
        <v>0</v>
      </c>
      <c r="H12" s="6">
        <f>'Paso 1.1'!H12-'Paso 1.1'!G12</f>
        <v>0</v>
      </c>
      <c r="I12" s="6">
        <f>'Paso 1.1'!I12-'Paso 1.1'!H12</f>
        <v>0</v>
      </c>
      <c r="J12" s="6">
        <f>'Paso 1.1'!J12-'Paso 1.1'!I12</f>
        <v>0</v>
      </c>
      <c r="K12" s="6">
        <f>'Paso 1.1'!K12-'Paso 1.1'!J12</f>
        <v>0</v>
      </c>
      <c r="L12" s="6">
        <f>'Paso 1.1'!L12-'Paso 1.1'!K12</f>
        <v>0</v>
      </c>
      <c r="M12" s="6">
        <f>'Paso 1.1'!M12-'Paso 1.1'!L12</f>
        <v>0</v>
      </c>
      <c r="N12" s="6">
        <f>'Paso 1.1'!N12-'Paso 1.1'!M12</f>
        <v>0</v>
      </c>
    </row>
    <row r="13" spans="1:14" x14ac:dyDescent="0.2">
      <c r="A13" s="3" t="s">
        <v>12</v>
      </c>
      <c r="B13" s="43">
        <f>'Paso 1.2'!H13</f>
        <v>-14820.187330237228</v>
      </c>
      <c r="C13" s="4">
        <f>'Paso 1.1'!C13-'Paso 1.1'!B13</f>
        <v>0</v>
      </c>
      <c r="D13" s="4">
        <f>'Paso 1.1'!D13-'Paso 1.1'!C13</f>
        <v>0</v>
      </c>
      <c r="E13" s="4">
        <f>'Paso 1.1'!E13-'Paso 1.1'!D13</f>
        <v>0</v>
      </c>
      <c r="F13" s="4">
        <f>'Paso 1.1'!F13-'Paso 1.1'!E13</f>
        <v>0</v>
      </c>
      <c r="G13" s="4">
        <f>'Paso 1.1'!G13-'Paso 1.1'!F13</f>
        <v>0</v>
      </c>
      <c r="H13" s="4">
        <f>'Paso 1.1'!H13-'Paso 1.1'!G13</f>
        <v>0</v>
      </c>
      <c r="I13" s="4">
        <f>'Paso 1.1'!I13-'Paso 1.1'!H13</f>
        <v>0</v>
      </c>
      <c r="J13" s="4">
        <f>'Paso 1.1'!J13-'Paso 1.1'!I13</f>
        <v>0</v>
      </c>
      <c r="K13" s="4">
        <f>'Paso 1.1'!K13-'Paso 1.1'!J13</f>
        <v>0</v>
      </c>
      <c r="L13" s="4">
        <f>'Paso 1.1'!L13-'Paso 1.1'!K13</f>
        <v>0</v>
      </c>
      <c r="M13" s="4">
        <f>'Paso 1.1'!M13-'Paso 1.1'!L13</f>
        <v>0</v>
      </c>
      <c r="N13" s="4">
        <f>'Paso 1.1'!N13-'Paso 1.1'!M13</f>
        <v>0</v>
      </c>
    </row>
    <row r="14" spans="1:14" x14ac:dyDescent="0.2">
      <c r="A14" s="3" t="s">
        <v>13</v>
      </c>
      <c r="B14" s="43">
        <f>'Paso 1.2'!H14</f>
        <v>0</v>
      </c>
      <c r="C14" s="4">
        <f>'Paso 1.1'!C14-'Paso 1.1'!B14</f>
        <v>0</v>
      </c>
      <c r="D14" s="4">
        <f>'Paso 1.1'!D14-'Paso 1.1'!C14</f>
        <v>0</v>
      </c>
      <c r="E14" s="4">
        <f>'Paso 1.1'!E14-'Paso 1.1'!D14</f>
        <v>0</v>
      </c>
      <c r="F14" s="4">
        <f>'Paso 1.1'!F14-'Paso 1.1'!E14</f>
        <v>0</v>
      </c>
      <c r="G14" s="4">
        <f>'Paso 1.1'!G14-'Paso 1.1'!F14</f>
        <v>0</v>
      </c>
      <c r="H14" s="4">
        <f>'Paso 1.1'!H14-'Paso 1.1'!G14</f>
        <v>0</v>
      </c>
      <c r="I14" s="4">
        <f>'Paso 1.1'!I14-'Paso 1.1'!H14</f>
        <v>0</v>
      </c>
      <c r="J14" s="4">
        <f>'Paso 1.1'!J14-'Paso 1.1'!I14</f>
        <v>0</v>
      </c>
      <c r="K14" s="4">
        <f>'Paso 1.1'!K14-'Paso 1.1'!J14</f>
        <v>0</v>
      </c>
      <c r="L14" s="4">
        <f>'Paso 1.1'!L14-'Paso 1.1'!K14</f>
        <v>0</v>
      </c>
      <c r="M14" s="4">
        <f>'Paso 1.1'!M14-'Paso 1.1'!L14</f>
        <v>0</v>
      </c>
      <c r="N14" s="4">
        <f>'Paso 1.1'!N14-'Paso 1.1'!M14</f>
        <v>0</v>
      </c>
    </row>
    <row r="15" spans="1:14" x14ac:dyDescent="0.2">
      <c r="A15" s="3" t="s">
        <v>14</v>
      </c>
      <c r="B15" s="43">
        <f>'Paso 1.2'!H15</f>
        <v>-180</v>
      </c>
      <c r="C15" s="4">
        <f>'Paso 1.1'!C15-'Paso 1.1'!B15</f>
        <v>0</v>
      </c>
      <c r="D15" s="4">
        <f>'Paso 1.1'!D15-'Paso 1.1'!C15</f>
        <v>0</v>
      </c>
      <c r="E15" s="4">
        <f>'Paso 1.1'!E15-'Paso 1.1'!D15</f>
        <v>0</v>
      </c>
      <c r="F15" s="4">
        <f>'Paso 1.1'!F15-'Paso 1.1'!E15</f>
        <v>-7.5</v>
      </c>
      <c r="G15" s="4">
        <f>'Paso 1.1'!G15-'Paso 1.1'!F15</f>
        <v>0</v>
      </c>
      <c r="H15" s="4">
        <f>'Paso 1.1'!H15-'Paso 1.1'!G15</f>
        <v>0</v>
      </c>
      <c r="I15" s="4">
        <f>'Paso 1.1'!I15-'Paso 1.1'!H15</f>
        <v>0</v>
      </c>
      <c r="J15" s="4">
        <f>'Paso 1.1'!J15-'Paso 1.1'!I15</f>
        <v>0</v>
      </c>
      <c r="K15" s="4">
        <f>'Paso 1.1'!K15-'Paso 1.1'!J15</f>
        <v>0</v>
      </c>
      <c r="L15" s="4">
        <f>'Paso 1.1'!L15-'Paso 1.1'!K15</f>
        <v>0</v>
      </c>
      <c r="M15" s="4">
        <f>'Paso 1.1'!M15-'Paso 1.1'!L15</f>
        <v>0</v>
      </c>
      <c r="N15" s="4">
        <f>'Paso 1.1'!N15-'Paso 1.1'!M15</f>
        <v>0</v>
      </c>
    </row>
    <row r="16" spans="1:14" ht="13.5" thickBot="1" x14ac:dyDescent="0.25">
      <c r="A16" s="7" t="s">
        <v>15</v>
      </c>
      <c r="B16" s="45">
        <f>'Paso 1.2'!H16</f>
        <v>11700.396594547046</v>
      </c>
      <c r="C16" s="8">
        <f>'Paso 1.1'!C16-'Paso 1.1'!B16</f>
        <v>0</v>
      </c>
      <c r="D16" s="8">
        <f>'Paso 1.1'!D16-'Paso 1.1'!C16</f>
        <v>0</v>
      </c>
      <c r="E16" s="8">
        <f>'Paso 1.1'!E16-'Paso 1.1'!D16</f>
        <v>0</v>
      </c>
      <c r="F16" s="8">
        <f>'Paso 1.1'!F16-'Paso 1.1'!E16</f>
        <v>607.5</v>
      </c>
      <c r="G16" s="8">
        <f>'Paso 1.1'!G16-'Paso 1.1'!F16</f>
        <v>0</v>
      </c>
      <c r="H16" s="8">
        <f>'Paso 1.1'!H16-'Paso 1.1'!G16</f>
        <v>0</v>
      </c>
      <c r="I16" s="8">
        <f>'Paso 1.1'!I16-'Paso 1.1'!H16</f>
        <v>0</v>
      </c>
      <c r="J16" s="8">
        <f>'Paso 1.1'!J16-'Paso 1.1'!I16</f>
        <v>0</v>
      </c>
      <c r="K16" s="8">
        <f>'Paso 1.1'!K16-'Paso 1.1'!J16</f>
        <v>0</v>
      </c>
      <c r="L16" s="8">
        <f>'Paso 1.1'!L16-'Paso 1.1'!K16</f>
        <v>0</v>
      </c>
      <c r="M16" s="8">
        <f>'Paso 1.1'!M16-'Paso 1.1'!L16</f>
        <v>0</v>
      </c>
      <c r="N16" s="8">
        <f>'Paso 1.1'!N16-'Paso 1.1'!M16</f>
        <v>0</v>
      </c>
    </row>
    <row r="17" spans="1:17" x14ac:dyDescent="0.2">
      <c r="A17" s="3" t="s">
        <v>16</v>
      </c>
      <c r="B17" s="43"/>
      <c r="C17" s="4">
        <f>'Paso 1.1'!C17-'Paso 1.1'!B17</f>
        <v>-117</v>
      </c>
      <c r="D17" s="4">
        <f>'Paso 1.1'!D17-'Paso 1.1'!C17</f>
        <v>-124</v>
      </c>
      <c r="E17" s="4">
        <f>'Paso 1.1'!E17-'Paso 1.1'!D17</f>
        <v>-233.5</v>
      </c>
      <c r="F17" s="4">
        <f>'Paso 1.1'!F17-'Paso 1.1'!E17</f>
        <v>-140</v>
      </c>
      <c r="G17" s="4">
        <f>'Paso 1.1'!G17-'Paso 1.1'!F17</f>
        <v>-150</v>
      </c>
      <c r="H17" s="4">
        <f>'Paso 1.1'!H17-'Paso 1.1'!G17</f>
        <v>-264.5</v>
      </c>
      <c r="I17" s="4">
        <f>'Paso 1.1'!I17-'Paso 1.1'!H17</f>
        <v>-175</v>
      </c>
      <c r="J17" s="4">
        <f>'Paso 1.1'!J17-'Paso 1.1'!I17</f>
        <v>-131</v>
      </c>
      <c r="K17" s="4">
        <f>'Paso 1.1'!K17-'Paso 1.1'!J17</f>
        <v>-150</v>
      </c>
      <c r="L17" s="4">
        <f>'Paso 1.1'!L17-'Paso 1.1'!K17</f>
        <v>-300</v>
      </c>
      <c r="M17" s="4">
        <f>'Paso 1.1'!M17-'Paso 1.1'!L17</f>
        <v>-263</v>
      </c>
      <c r="N17" s="4">
        <f>'Paso 1.1'!N17-'Paso 1.1'!M17</f>
        <v>-257</v>
      </c>
    </row>
    <row r="18" spans="1:17" x14ac:dyDescent="0.2">
      <c r="A18" s="3" t="s">
        <v>17</v>
      </c>
      <c r="B18" s="43"/>
      <c r="C18" s="4">
        <f>'Paso 1.1'!C18-'Paso 1.1'!B18</f>
        <v>0</v>
      </c>
      <c r="D18" s="4">
        <f>'Paso 1.1'!D18-'Paso 1.1'!C18</f>
        <v>0</v>
      </c>
      <c r="E18" s="4">
        <f>'Paso 1.1'!E18-'Paso 1.1'!D18</f>
        <v>0</v>
      </c>
      <c r="F18" s="4">
        <f>'Paso 1.1'!F18-'Paso 1.1'!E18</f>
        <v>0</v>
      </c>
      <c r="G18" s="4">
        <f>'Paso 1.1'!G18-'Paso 1.1'!F18</f>
        <v>0</v>
      </c>
      <c r="H18" s="4">
        <f>'Paso 1.1'!H18-'Paso 1.1'!G18</f>
        <v>0</v>
      </c>
      <c r="I18" s="4">
        <f>'Paso 1.1'!I18-'Paso 1.1'!H18</f>
        <v>0</v>
      </c>
      <c r="J18" s="4">
        <f>'Paso 1.1'!J18-'Paso 1.1'!I18</f>
        <v>0</v>
      </c>
      <c r="K18" s="4">
        <f>'Paso 1.1'!K18-'Paso 1.1'!J18</f>
        <v>0</v>
      </c>
      <c r="L18" s="4">
        <f>'Paso 1.1'!L18-'Paso 1.1'!K18</f>
        <v>0</v>
      </c>
      <c r="M18" s="4">
        <f>'Paso 1.1'!M18-'Paso 1.1'!L18</f>
        <v>0</v>
      </c>
      <c r="N18" s="4">
        <f>'Paso 1.1'!N18-'Paso 1.1'!M18</f>
        <v>0</v>
      </c>
    </row>
    <row r="19" spans="1:17" x14ac:dyDescent="0.2">
      <c r="A19" s="3" t="s">
        <v>18</v>
      </c>
      <c r="B19" s="43"/>
      <c r="C19" s="4">
        <f>'Paso 1.1'!C19-'Paso 1.1'!B19</f>
        <v>16</v>
      </c>
      <c r="D19" s="4">
        <f>'Paso 1.1'!D19-'Paso 1.1'!C19</f>
        <v>17</v>
      </c>
      <c r="E19" s="4">
        <f>'Paso 1.1'!E19-'Paso 1.1'!D19</f>
        <v>18</v>
      </c>
      <c r="F19" s="4">
        <f>'Paso 1.1'!F19-'Paso 1.1'!E19</f>
        <v>19</v>
      </c>
      <c r="G19" s="4">
        <f>'Paso 1.1'!G19-'Paso 1.1'!F19</f>
        <v>20</v>
      </c>
      <c r="H19" s="4">
        <f>'Paso 1.1'!H19-'Paso 1.1'!G19</f>
        <v>22</v>
      </c>
      <c r="I19" s="4">
        <f>'Paso 1.1'!I19-'Paso 1.1'!H19</f>
        <v>24</v>
      </c>
      <c r="J19" s="4">
        <f>'Paso 1.1'!J19-'Paso 1.1'!I19</f>
        <v>18</v>
      </c>
      <c r="K19" s="4">
        <f>'Paso 1.1'!K19-'Paso 1.1'!J19</f>
        <v>20</v>
      </c>
      <c r="L19" s="4">
        <f>'Paso 1.1'!L19-'Paso 1.1'!K19</f>
        <v>41</v>
      </c>
      <c r="M19" s="4">
        <f>'Paso 1.1'!M19-'Paso 1.1'!L19</f>
        <v>36</v>
      </c>
      <c r="N19" s="4">
        <f>'Paso 1.1'!N19-'Paso 1.1'!M19</f>
        <v>34</v>
      </c>
    </row>
    <row r="20" spans="1:17" x14ac:dyDescent="0.2">
      <c r="A20" s="3" t="s">
        <v>19</v>
      </c>
      <c r="B20" s="43"/>
      <c r="C20" s="4">
        <f>'Paso 1.1'!C20-'Paso 1.1'!B20</f>
        <v>7.9833333333333334</v>
      </c>
      <c r="D20" s="4">
        <f>'Paso 1.1'!D20-'Paso 1.1'!C20</f>
        <v>7.9833333333333334</v>
      </c>
      <c r="E20" s="4">
        <f>'Paso 1.1'!E20-'Paso 1.1'!D20</f>
        <v>7.9833333333333325</v>
      </c>
      <c r="F20" s="4">
        <f>'Paso 1.1'!F20-'Paso 1.1'!E20</f>
        <v>7.9833333333333343</v>
      </c>
      <c r="G20" s="4">
        <f>'Paso 1.1'!G20-'Paso 1.1'!F20</f>
        <v>7.9833333333333307</v>
      </c>
      <c r="H20" s="4">
        <f>'Paso 1.1'!H20-'Paso 1.1'!G20</f>
        <v>7.9833333333333343</v>
      </c>
      <c r="I20" s="4">
        <f>'Paso 1.1'!I20-'Paso 1.1'!H20</f>
        <v>7.9833333333333343</v>
      </c>
      <c r="J20" s="4">
        <f>'Paso 1.1'!J20-'Paso 1.1'!I20</f>
        <v>7.9833333333333343</v>
      </c>
      <c r="K20" s="4">
        <f>'Paso 1.1'!K20-'Paso 1.1'!J20</f>
        <v>7.9833333333333272</v>
      </c>
      <c r="L20" s="4">
        <f>'Paso 1.1'!L20-'Paso 1.1'!K20</f>
        <v>7.9833333333333343</v>
      </c>
      <c r="M20" s="4">
        <f>'Paso 1.1'!M20-'Paso 1.1'!L20</f>
        <v>7.9833333333333343</v>
      </c>
      <c r="N20" s="4">
        <f>'Paso 1.1'!N20-'Paso 1.1'!M20</f>
        <v>7.9833333333333343</v>
      </c>
    </row>
    <row r="21" spans="1:17" x14ac:dyDescent="0.2">
      <c r="A21" s="3" t="s">
        <v>20</v>
      </c>
      <c r="B21" s="43"/>
      <c r="C21" s="4">
        <f>'Paso 1.1'!C21-'Paso 1.1'!B21</f>
        <v>0</v>
      </c>
      <c r="D21" s="4">
        <f>'Paso 1.1'!D21-'Paso 1.1'!C21</f>
        <v>0</v>
      </c>
      <c r="E21" s="4">
        <f>'Paso 1.1'!E21-'Paso 1.1'!D21</f>
        <v>0</v>
      </c>
      <c r="F21" s="4">
        <f>'Paso 1.1'!F21-'Paso 1.1'!E21</f>
        <v>-54</v>
      </c>
      <c r="G21" s="4">
        <f>'Paso 1.1'!G21-'Paso 1.1'!F21</f>
        <v>-90</v>
      </c>
      <c r="H21" s="4">
        <f>'Paso 1.1'!H21-'Paso 1.1'!G21</f>
        <v>-90</v>
      </c>
      <c r="I21" s="4">
        <f>'Paso 1.1'!I21-'Paso 1.1'!H21</f>
        <v>-72</v>
      </c>
      <c r="J21" s="4">
        <f>'Paso 1.1'!J21-'Paso 1.1'!I21</f>
        <v>-27</v>
      </c>
      <c r="K21" s="4">
        <f>'Paso 1.1'!K21-'Paso 1.1'!J21</f>
        <v>81</v>
      </c>
      <c r="L21" s="4">
        <f>'Paso 1.1'!L21-'Paso 1.1'!K21</f>
        <v>9</v>
      </c>
      <c r="M21" s="4">
        <f>'Paso 1.1'!M21-'Paso 1.1'!L21</f>
        <v>-42</v>
      </c>
      <c r="N21" s="4">
        <f>'Paso 1.1'!N21-'Paso 1.1'!M21</f>
        <v>-28</v>
      </c>
    </row>
    <row r="22" spans="1:17" x14ac:dyDescent="0.2">
      <c r="A22" s="3" t="s">
        <v>21</v>
      </c>
      <c r="B22" s="43"/>
      <c r="C22" s="4">
        <f>'Paso 1.1'!C22-'Paso 1.1'!B22</f>
        <v>0</v>
      </c>
      <c r="D22" s="4">
        <f>'Paso 1.1'!D22-'Paso 1.1'!C22</f>
        <v>0</v>
      </c>
      <c r="E22" s="4">
        <f>'Paso 1.1'!E22-'Paso 1.1'!D22</f>
        <v>0</v>
      </c>
      <c r="F22" s="4">
        <f>'Paso 1.1'!F22-'Paso 1.1'!E22</f>
        <v>0</v>
      </c>
      <c r="G22" s="4">
        <f>'Paso 1.1'!G22-'Paso 1.1'!F22</f>
        <v>0</v>
      </c>
      <c r="H22" s="4">
        <f>'Paso 1.1'!H22-'Paso 1.1'!G22</f>
        <v>0</v>
      </c>
      <c r="I22" s="4">
        <f>'Paso 1.1'!I22-'Paso 1.1'!H22</f>
        <v>0</v>
      </c>
      <c r="J22" s="4">
        <f>'Paso 1.1'!J22-'Paso 1.1'!I22</f>
        <v>0</v>
      </c>
      <c r="K22" s="4">
        <f>'Paso 1.1'!K22-'Paso 1.1'!J22</f>
        <v>0</v>
      </c>
      <c r="L22" s="4">
        <f>'Paso 1.1'!L22-'Paso 1.1'!K22</f>
        <v>0</v>
      </c>
      <c r="M22" s="4">
        <f>'Paso 1.1'!M22-'Paso 1.1'!L22</f>
        <v>0</v>
      </c>
      <c r="N22" s="4">
        <f>'Paso 1.1'!N22-'Paso 1.1'!M22</f>
        <v>0</v>
      </c>
    </row>
    <row r="23" spans="1:17" x14ac:dyDescent="0.2">
      <c r="A23" s="3" t="s">
        <v>22</v>
      </c>
      <c r="B23" s="43"/>
      <c r="C23" s="4">
        <f>'Paso 1.1'!C23-'Paso 1.1'!B23</f>
        <v>0</v>
      </c>
      <c r="D23" s="4">
        <f>'Paso 1.1'!D23-'Paso 1.1'!C23</f>
        <v>0</v>
      </c>
      <c r="E23" s="4">
        <f>'Paso 1.1'!E23-'Paso 1.1'!D23</f>
        <v>0</v>
      </c>
      <c r="F23" s="4">
        <f>'Paso 1.1'!F23-'Paso 1.1'!E23</f>
        <v>16.041666666666668</v>
      </c>
      <c r="G23" s="4">
        <f>'Paso 1.1'!G23-'Paso 1.1'!F23</f>
        <v>15.858741748968178</v>
      </c>
      <c r="H23" s="4">
        <f>'Paso 1.1'!H23-'Paso 1.1'!G23</f>
        <v>15.667432772541847</v>
      </c>
      <c r="I23" s="4">
        <f>'Paso 1.1'!I23-'Paso 1.1'!H23</f>
        <v>15.467355468029304</v>
      </c>
      <c r="J23" s="4">
        <f>'Paso 1.1'!J23-'Paso 1.1'!I23</f>
        <v>15.258107953726608</v>
      </c>
      <c r="K23" s="4">
        <f>'Paso 1.1'!K23-'Paso 1.1'!J23</f>
        <v>15.0392699283517</v>
      </c>
      <c r="L23" s="4">
        <f>'Paso 1.1'!L23-'Paso 1.1'!K23</f>
        <v>14.810401826813788</v>
      </c>
      <c r="M23" s="4">
        <f>'Paso 1.1'!M23-'Paso 1.1'!L23</f>
        <v>14.571043937288707</v>
      </c>
      <c r="N23" s="4">
        <f>'Paso 1.1'!N23-'Paso 1.1'!M23</f>
        <v>14.320715477827051</v>
      </c>
      <c r="O23" s="4"/>
      <c r="P23" s="4"/>
      <c r="Q23" s="4"/>
    </row>
    <row r="24" spans="1:17" x14ac:dyDescent="0.2">
      <c r="A24" s="3" t="s">
        <v>23</v>
      </c>
      <c r="B24" s="43"/>
      <c r="C24" s="4">
        <f>'Paso 1.1'!C24-'Paso 1.1'!B24</f>
        <v>0</v>
      </c>
      <c r="D24" s="4">
        <f>'Paso 1.1'!D24-'Paso 1.1'!C24</f>
        <v>0</v>
      </c>
      <c r="E24" s="4">
        <f>'Paso 1.1'!E24-'Paso 1.1'!D24</f>
        <v>0</v>
      </c>
      <c r="F24" s="4">
        <f>'Paso 1.1'!F24-'Paso 1.1'!E24</f>
        <v>0</v>
      </c>
      <c r="G24" s="4">
        <f>'Paso 1.1'!G24-'Paso 1.1'!F24</f>
        <v>0</v>
      </c>
      <c r="H24" s="4">
        <f>'Paso 1.1'!H24-'Paso 1.1'!G24</f>
        <v>0</v>
      </c>
      <c r="I24" s="4">
        <f>'Paso 1.1'!I24-'Paso 1.1'!H24</f>
        <v>0</v>
      </c>
      <c r="J24" s="4">
        <f>'Paso 1.1'!J24-'Paso 1.1'!I24</f>
        <v>0</v>
      </c>
      <c r="K24" s="4">
        <f>'Paso 1.1'!K24-'Paso 1.1'!J24</f>
        <v>0</v>
      </c>
      <c r="L24" s="4">
        <f>'Paso 1.1'!L24-'Paso 1.1'!K24</f>
        <v>0</v>
      </c>
      <c r="M24" s="4">
        <f>'Paso 1.1'!M24-'Paso 1.1'!L24</f>
        <v>0</v>
      </c>
      <c r="N24" s="4">
        <f>'Paso 1.1'!N24-'Paso 1.1'!M24</f>
        <v>115</v>
      </c>
    </row>
    <row r="25" spans="1:17" x14ac:dyDescent="0.2">
      <c r="A25" s="3" t="s">
        <v>25</v>
      </c>
      <c r="B25" s="43"/>
      <c r="C25" s="4">
        <f>'Paso 1.1'!C25-'Paso 1.1'!B25</f>
        <v>0</v>
      </c>
      <c r="D25" s="4">
        <f>'Paso 1.1'!D25-'Paso 1.1'!C25</f>
        <v>0</v>
      </c>
      <c r="E25" s="4">
        <f>'Paso 1.1'!E25-'Paso 1.1'!D25</f>
        <v>0</v>
      </c>
      <c r="F25" s="4">
        <f>'Paso 1.1'!F25-'Paso 1.1'!E25</f>
        <v>0</v>
      </c>
      <c r="G25" s="4">
        <f>'Paso 1.1'!G25-'Paso 1.1'!F25</f>
        <v>0</v>
      </c>
      <c r="H25" s="4">
        <f>'Paso 1.1'!H25-'Paso 1.1'!G25</f>
        <v>0</v>
      </c>
      <c r="I25" s="4">
        <f>'Paso 1.1'!I25-'Paso 1.1'!H25</f>
        <v>0</v>
      </c>
      <c r="J25" s="4">
        <f>'Paso 1.1'!J25-'Paso 1.1'!I25</f>
        <v>0</v>
      </c>
      <c r="K25" s="4">
        <f>'Paso 1.1'!K25-'Paso 1.1'!J25</f>
        <v>0</v>
      </c>
      <c r="L25" s="4">
        <f>'Paso 1.1'!L25-'Paso 1.1'!K25</f>
        <v>0</v>
      </c>
      <c r="M25" s="4">
        <f>'Paso 1.1'!M25-'Paso 1.1'!L25</f>
        <v>0</v>
      </c>
      <c r="N25" s="4">
        <f>'Paso 1.1'!N25-'Paso 1.1'!M25</f>
        <v>0</v>
      </c>
    </row>
    <row r="26" spans="1:17" x14ac:dyDescent="0.2">
      <c r="A26" s="3" t="s">
        <v>26</v>
      </c>
      <c r="B26" s="43"/>
      <c r="C26" s="4">
        <f>'Paso 1.1'!C26-'Paso 1.1'!B26</f>
        <v>0</v>
      </c>
      <c r="D26" s="4">
        <f>'Paso 1.1'!D26-'Paso 1.1'!C26</f>
        <v>0</v>
      </c>
      <c r="E26" s="4">
        <f>'Paso 1.1'!E26-'Paso 1.1'!D26</f>
        <v>0</v>
      </c>
      <c r="F26" s="4">
        <f>'Paso 1.1'!F26-'Paso 1.1'!E26</f>
        <v>0</v>
      </c>
      <c r="G26" s="4">
        <f>'Paso 1.1'!G26-'Paso 1.1'!F26</f>
        <v>0</v>
      </c>
      <c r="H26" s="4">
        <f>'Paso 1.1'!H26-'Paso 1.1'!G26</f>
        <v>0</v>
      </c>
      <c r="I26" s="4">
        <f>'Paso 1.1'!I26-'Paso 1.1'!H26</f>
        <v>0</v>
      </c>
      <c r="J26" s="4">
        <f>'Paso 1.1'!J26-'Paso 1.1'!I26</f>
        <v>0</v>
      </c>
      <c r="K26" s="4">
        <f>'Paso 1.1'!K26-'Paso 1.1'!J26</f>
        <v>0</v>
      </c>
      <c r="L26" s="4">
        <f>'Paso 1.1'!L26-'Paso 1.1'!K26</f>
        <v>0</v>
      </c>
      <c r="M26" s="4">
        <f>'Paso 1.1'!M26-'Paso 1.1'!L26</f>
        <v>0</v>
      </c>
      <c r="N26" s="4">
        <f>'Paso 1.1'!N26-'Paso 1.1'!M26</f>
        <v>0</v>
      </c>
    </row>
    <row r="27" spans="1:17" x14ac:dyDescent="0.2">
      <c r="A27" s="9" t="s">
        <v>24</v>
      </c>
      <c r="B27" s="10">
        <f>ROUND(SUM(B2:B24),0)</f>
        <v>0</v>
      </c>
      <c r="C27" s="10">
        <f t="shared" ref="C27:N27" si="0">ROUND(SUM(C2:C24),0)</f>
        <v>0</v>
      </c>
      <c r="D27" s="10">
        <f t="shared" si="0"/>
        <v>0</v>
      </c>
      <c r="E27" s="10">
        <f t="shared" si="0"/>
        <v>0</v>
      </c>
      <c r="F27" s="10">
        <f t="shared" si="0"/>
        <v>0</v>
      </c>
      <c r="G27" s="10">
        <f t="shared" si="0"/>
        <v>0</v>
      </c>
      <c r="H27" s="10">
        <f t="shared" si="0"/>
        <v>0</v>
      </c>
      <c r="I27" s="10">
        <f t="shared" si="0"/>
        <v>0</v>
      </c>
      <c r="J27" s="10">
        <f t="shared" si="0"/>
        <v>0</v>
      </c>
      <c r="K27" s="10">
        <f t="shared" si="0"/>
        <v>0</v>
      </c>
      <c r="L27" s="10">
        <f t="shared" si="0"/>
        <v>0</v>
      </c>
      <c r="M27" s="10">
        <f t="shared" si="0"/>
        <v>0</v>
      </c>
      <c r="N27" s="10">
        <f t="shared" si="0"/>
        <v>0</v>
      </c>
    </row>
    <row r="29" spans="1:17" x14ac:dyDescent="0.2">
      <c r="B29" s="4"/>
      <c r="C29" s="4"/>
      <c r="D29" s="4"/>
      <c r="E29" s="4"/>
      <c r="F29" s="4"/>
    </row>
    <row r="30" spans="1:17" x14ac:dyDescent="0.2">
      <c r="B30" s="4"/>
      <c r="C30" s="4"/>
      <c r="D30" s="4"/>
      <c r="E30" s="4"/>
      <c r="F30" s="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activeCell="A27" sqref="A27"/>
    </sheetView>
  </sheetViews>
  <sheetFormatPr baseColWidth="10" defaultRowHeight="12.75" x14ac:dyDescent="0.2"/>
  <cols>
    <col min="1" max="1" width="42.28515625" style="3" bestFit="1" customWidth="1"/>
    <col min="2" max="16384" width="11.42578125" style="3"/>
  </cols>
  <sheetData>
    <row r="1" spans="1:14" x14ac:dyDescent="0.2">
      <c r="A1" s="1" t="s">
        <v>0</v>
      </c>
      <c r="B1" s="2">
        <v>43070</v>
      </c>
      <c r="C1" s="2">
        <v>43101</v>
      </c>
      <c r="D1" s="2">
        <v>43132</v>
      </c>
      <c r="E1" s="2">
        <v>43160</v>
      </c>
      <c r="F1" s="2">
        <v>43191</v>
      </c>
      <c r="G1" s="2">
        <v>43221</v>
      </c>
      <c r="H1" s="2">
        <v>43252</v>
      </c>
      <c r="I1" s="2">
        <v>43282</v>
      </c>
      <c r="J1" s="2">
        <v>43313</v>
      </c>
      <c r="K1" s="2">
        <v>43344</v>
      </c>
      <c r="L1" s="2">
        <v>43374</v>
      </c>
      <c r="M1" s="2">
        <v>43405</v>
      </c>
      <c r="N1" s="2">
        <v>43435</v>
      </c>
    </row>
    <row r="2" spans="1:14" x14ac:dyDescent="0.2">
      <c r="A2" s="3" t="s">
        <v>1</v>
      </c>
      <c r="B2" s="47">
        <f>VLOOKUP($B$1,'ipc empalme ipim'!$A:$B,2,FALSE)</f>
        <v>124.79559999999999</v>
      </c>
      <c r="C2" s="48">
        <f>VLOOKUP($C$1,'ipc empalme ipim'!$A:$B,2,FALSE)</f>
        <v>126.98869999999999</v>
      </c>
      <c r="D2" s="48">
        <f>VLOOKUP($D$1,'ipc empalme ipim'!$A:$B,2,FALSE)</f>
        <v>130.06059999999999</v>
      </c>
      <c r="E2" s="48">
        <f>VLOOKUP($E$1,'ipc empalme ipim'!$A:$B,2,FALSE)</f>
        <v>133.1054</v>
      </c>
      <c r="F2" s="48">
        <f>VLOOKUP($F$1,'ipc empalme ipim'!$A:$B,2,FALSE)</f>
        <v>136.75120000000001</v>
      </c>
      <c r="G2" s="48">
        <f>VLOOKUP($G$1,'ipc empalme ipim'!$A:$B,2,FALSE)</f>
        <v>139.58930000000001</v>
      </c>
      <c r="H2" s="48">
        <f>VLOOKUP($H$1,'ipc empalme ipim'!$A:$B,2,FALSE)</f>
        <v>144.80529999999999</v>
      </c>
      <c r="I2" s="48">
        <f>VLOOKUP($I$1,'ipc empalme ipim'!$A:$B,2,FALSE)</f>
        <v>149.29660000000001</v>
      </c>
      <c r="J2" s="48">
        <f>VLOOKUP($J$1,'ipc empalme ipim'!$A:$B,2,FALSE)</f>
        <v>155.10339999999999</v>
      </c>
      <c r="K2" s="48">
        <f>VLOOKUP($K$1,'ipc empalme ipim'!$A:$B,2,FALSE)</f>
        <v>165.23830000000001</v>
      </c>
      <c r="L2" s="48">
        <f>VLOOKUP($L$1,'ipc empalme ipim'!$A:$B,2,FALSE)</f>
        <v>174.1473</v>
      </c>
      <c r="M2" s="48">
        <f>VLOOKUP($M$1,'ipc empalme ipim'!$A:$B,2,FALSE)</f>
        <v>179.6388</v>
      </c>
      <c r="N2" s="48">
        <f>VLOOKUP($N$1,'ipc empalme ipim'!$A:$B,2,FALSE)</f>
        <v>184.2552</v>
      </c>
    </row>
    <row r="3" spans="1:14" x14ac:dyDescent="0.2">
      <c r="A3" s="3" t="s">
        <v>2</v>
      </c>
      <c r="B3" s="49">
        <f>VLOOKUP($B$1,'ipc empalme ipim'!$A:$B,2,FALSE)</f>
        <v>124.79559999999999</v>
      </c>
      <c r="C3" s="48">
        <f>VLOOKUP($C$1,'ipc empalme ipim'!$A:$B,2,FALSE)</f>
        <v>126.98869999999999</v>
      </c>
      <c r="D3" s="48">
        <f>VLOOKUP($D$1,'ipc empalme ipim'!$A:$B,2,FALSE)</f>
        <v>130.06059999999999</v>
      </c>
      <c r="E3" s="48">
        <f>VLOOKUP($E$1,'ipc empalme ipim'!$A:$B,2,FALSE)</f>
        <v>133.1054</v>
      </c>
      <c r="F3" s="48">
        <f>VLOOKUP($F$1,'ipc empalme ipim'!$A:$B,2,FALSE)</f>
        <v>136.75120000000001</v>
      </c>
      <c r="G3" s="48">
        <f>VLOOKUP($G$1,'ipc empalme ipim'!$A:$B,2,FALSE)</f>
        <v>139.58930000000001</v>
      </c>
      <c r="H3" s="48">
        <f>VLOOKUP($H$1,'ipc empalme ipim'!$A:$B,2,FALSE)</f>
        <v>144.80529999999999</v>
      </c>
      <c r="I3" s="48">
        <f>VLOOKUP($I$1,'ipc empalme ipim'!$A:$B,2,FALSE)</f>
        <v>149.29660000000001</v>
      </c>
      <c r="J3" s="48">
        <f>VLOOKUP($J$1,'ipc empalme ipim'!$A:$B,2,FALSE)</f>
        <v>155.10339999999999</v>
      </c>
      <c r="K3" s="48">
        <f>VLOOKUP($K$1,'ipc empalme ipim'!$A:$B,2,FALSE)</f>
        <v>165.23830000000001</v>
      </c>
      <c r="L3" s="48">
        <f>VLOOKUP($L$1,'ipc empalme ipim'!$A:$B,2,FALSE)</f>
        <v>174.1473</v>
      </c>
      <c r="M3" s="48">
        <f>VLOOKUP($M$1,'ipc empalme ipim'!$A:$B,2,FALSE)</f>
        <v>179.6388</v>
      </c>
      <c r="N3" s="48">
        <f>VLOOKUP($N$1,'ipc empalme ipim'!$A:$B,2,FALSE)</f>
        <v>184.2552</v>
      </c>
    </row>
    <row r="4" spans="1:14" x14ac:dyDescent="0.2">
      <c r="A4" s="3" t="s">
        <v>3</v>
      </c>
      <c r="B4" s="49">
        <f>VLOOKUP($B$1,'ipc empalme ipim'!$A:$B,2,FALSE)</f>
        <v>124.79559999999999</v>
      </c>
      <c r="C4" s="48">
        <f>VLOOKUP($C$1,'ipc empalme ipim'!$A:$B,2,FALSE)</f>
        <v>126.98869999999999</v>
      </c>
      <c r="D4" s="48">
        <f>VLOOKUP($D$1,'ipc empalme ipim'!$A:$B,2,FALSE)</f>
        <v>130.06059999999999</v>
      </c>
      <c r="E4" s="48">
        <f>VLOOKUP($E$1,'ipc empalme ipim'!$A:$B,2,FALSE)</f>
        <v>133.1054</v>
      </c>
      <c r="F4" s="48">
        <f>VLOOKUP($F$1,'ipc empalme ipim'!$A:$B,2,FALSE)</f>
        <v>136.75120000000001</v>
      </c>
      <c r="G4" s="48">
        <f>VLOOKUP($G$1,'ipc empalme ipim'!$A:$B,2,FALSE)</f>
        <v>139.58930000000001</v>
      </c>
      <c r="H4" s="48">
        <f>VLOOKUP($H$1,'ipc empalme ipim'!$A:$B,2,FALSE)</f>
        <v>144.80529999999999</v>
      </c>
      <c r="I4" s="48">
        <f>VLOOKUP($I$1,'ipc empalme ipim'!$A:$B,2,FALSE)</f>
        <v>149.29660000000001</v>
      </c>
      <c r="J4" s="48">
        <f>VLOOKUP($J$1,'ipc empalme ipim'!$A:$B,2,FALSE)</f>
        <v>155.10339999999999</v>
      </c>
      <c r="K4" s="48">
        <f>VLOOKUP($K$1,'ipc empalme ipim'!$A:$B,2,FALSE)</f>
        <v>165.23830000000001</v>
      </c>
      <c r="L4" s="48">
        <f>VLOOKUP($L$1,'ipc empalme ipim'!$A:$B,2,FALSE)</f>
        <v>174.1473</v>
      </c>
      <c r="M4" s="48">
        <f>VLOOKUP($M$1,'ipc empalme ipim'!$A:$B,2,FALSE)</f>
        <v>179.6388</v>
      </c>
      <c r="N4" s="48">
        <f>VLOOKUP($N$1,'ipc empalme ipim'!$A:$B,2,FALSE)</f>
        <v>184.2552</v>
      </c>
    </row>
    <row r="5" spans="1:14" x14ac:dyDescent="0.2">
      <c r="A5" s="3" t="s">
        <v>4</v>
      </c>
      <c r="B5" s="49">
        <f>VLOOKUP($B$1,'ipc empalme ipim'!$A:$B,2,FALSE)</f>
        <v>124.79559999999999</v>
      </c>
      <c r="C5" s="48">
        <f>VLOOKUP($C$1,'ipc empalme ipim'!$A:$B,2,FALSE)</f>
        <v>126.98869999999999</v>
      </c>
      <c r="D5" s="48">
        <f>VLOOKUP($D$1,'ipc empalme ipim'!$A:$B,2,FALSE)</f>
        <v>130.06059999999999</v>
      </c>
      <c r="E5" s="48">
        <f>VLOOKUP($E$1,'ipc empalme ipim'!$A:$B,2,FALSE)</f>
        <v>133.1054</v>
      </c>
      <c r="F5" s="48">
        <f>VLOOKUP($F$1,'ipc empalme ipim'!$A:$B,2,FALSE)</f>
        <v>136.75120000000001</v>
      </c>
      <c r="G5" s="48">
        <f>VLOOKUP($G$1,'ipc empalme ipim'!$A:$B,2,FALSE)</f>
        <v>139.58930000000001</v>
      </c>
      <c r="H5" s="48">
        <f>VLOOKUP($H$1,'ipc empalme ipim'!$A:$B,2,FALSE)</f>
        <v>144.80529999999999</v>
      </c>
      <c r="I5" s="48">
        <f>VLOOKUP($I$1,'ipc empalme ipim'!$A:$B,2,FALSE)</f>
        <v>149.29660000000001</v>
      </c>
      <c r="J5" s="48">
        <f>VLOOKUP($J$1,'ipc empalme ipim'!$A:$B,2,FALSE)</f>
        <v>155.10339999999999</v>
      </c>
      <c r="K5" s="48">
        <f>VLOOKUP($K$1,'ipc empalme ipim'!$A:$B,2,FALSE)</f>
        <v>165.23830000000001</v>
      </c>
      <c r="L5" s="48">
        <f>VLOOKUP($L$1,'ipc empalme ipim'!$A:$B,2,FALSE)</f>
        <v>174.1473</v>
      </c>
      <c r="M5" s="48">
        <f>VLOOKUP($M$1,'ipc empalme ipim'!$A:$B,2,FALSE)</f>
        <v>179.6388</v>
      </c>
      <c r="N5" s="48">
        <f>VLOOKUP($N$1,'ipc empalme ipim'!$A:$B,2,FALSE)</f>
        <v>184.2552</v>
      </c>
    </row>
    <row r="6" spans="1:14" x14ac:dyDescent="0.2">
      <c r="A6" s="3" t="s">
        <v>5</v>
      </c>
      <c r="B6" s="49">
        <f>VLOOKUP($B$1,'ipc empalme ipim'!$A:$B,2,FALSE)</f>
        <v>124.79559999999999</v>
      </c>
      <c r="C6" s="48">
        <f>VLOOKUP($C$1,'ipc empalme ipim'!$A:$B,2,FALSE)</f>
        <v>126.98869999999999</v>
      </c>
      <c r="D6" s="48">
        <f>VLOOKUP($D$1,'ipc empalme ipim'!$A:$B,2,FALSE)</f>
        <v>130.06059999999999</v>
      </c>
      <c r="E6" s="48">
        <f>VLOOKUP($E$1,'ipc empalme ipim'!$A:$B,2,FALSE)</f>
        <v>133.1054</v>
      </c>
      <c r="F6" s="48">
        <f>VLOOKUP($F$1,'ipc empalme ipim'!$A:$B,2,FALSE)</f>
        <v>136.75120000000001</v>
      </c>
      <c r="G6" s="48">
        <f>VLOOKUP($G$1,'ipc empalme ipim'!$A:$B,2,FALSE)</f>
        <v>139.58930000000001</v>
      </c>
      <c r="H6" s="48">
        <f>VLOOKUP($H$1,'ipc empalme ipim'!$A:$B,2,FALSE)</f>
        <v>144.80529999999999</v>
      </c>
      <c r="I6" s="48">
        <f>VLOOKUP($I$1,'ipc empalme ipim'!$A:$B,2,FALSE)</f>
        <v>149.29660000000001</v>
      </c>
      <c r="J6" s="48">
        <f>VLOOKUP($J$1,'ipc empalme ipim'!$A:$B,2,FALSE)</f>
        <v>155.10339999999999</v>
      </c>
      <c r="K6" s="48">
        <f>VLOOKUP($K$1,'ipc empalme ipim'!$A:$B,2,FALSE)</f>
        <v>165.23830000000001</v>
      </c>
      <c r="L6" s="48">
        <f>VLOOKUP($L$1,'ipc empalme ipim'!$A:$B,2,FALSE)</f>
        <v>174.1473</v>
      </c>
      <c r="M6" s="48">
        <f>VLOOKUP($M$1,'ipc empalme ipim'!$A:$B,2,FALSE)</f>
        <v>179.6388</v>
      </c>
      <c r="N6" s="48">
        <f>VLOOKUP($N$1,'ipc empalme ipim'!$A:$B,2,FALSE)</f>
        <v>184.2552</v>
      </c>
    </row>
    <row r="7" spans="1:14" x14ac:dyDescent="0.2">
      <c r="A7" s="3" t="s">
        <v>6</v>
      </c>
      <c r="B7" s="49">
        <f>VLOOKUP($B$1,'ipc empalme ipim'!$A:$B,2,FALSE)</f>
        <v>124.79559999999999</v>
      </c>
      <c r="C7" s="48">
        <f>VLOOKUP($C$1,'ipc empalme ipim'!$A:$B,2,FALSE)</f>
        <v>126.98869999999999</v>
      </c>
      <c r="D7" s="48">
        <f>VLOOKUP($D$1,'ipc empalme ipim'!$A:$B,2,FALSE)</f>
        <v>130.06059999999999</v>
      </c>
      <c r="E7" s="48">
        <f>VLOOKUP($E$1,'ipc empalme ipim'!$A:$B,2,FALSE)</f>
        <v>133.1054</v>
      </c>
      <c r="F7" s="48">
        <f>VLOOKUP($F$1,'ipc empalme ipim'!$A:$B,2,FALSE)</f>
        <v>136.75120000000001</v>
      </c>
      <c r="G7" s="48">
        <f>VLOOKUP($G$1,'ipc empalme ipim'!$A:$B,2,FALSE)</f>
        <v>139.58930000000001</v>
      </c>
      <c r="H7" s="48">
        <f>VLOOKUP($H$1,'ipc empalme ipim'!$A:$B,2,FALSE)</f>
        <v>144.80529999999999</v>
      </c>
      <c r="I7" s="48">
        <f>VLOOKUP($I$1,'ipc empalme ipim'!$A:$B,2,FALSE)</f>
        <v>149.29660000000001</v>
      </c>
      <c r="J7" s="48">
        <f>VLOOKUP($J$1,'ipc empalme ipim'!$A:$B,2,FALSE)</f>
        <v>155.10339999999999</v>
      </c>
      <c r="K7" s="48">
        <f>VLOOKUP($K$1,'ipc empalme ipim'!$A:$B,2,FALSE)</f>
        <v>165.23830000000001</v>
      </c>
      <c r="L7" s="48">
        <f>VLOOKUP($L$1,'ipc empalme ipim'!$A:$B,2,FALSE)</f>
        <v>174.1473</v>
      </c>
      <c r="M7" s="48">
        <f>VLOOKUP($M$1,'ipc empalme ipim'!$A:$B,2,FALSE)</f>
        <v>179.6388</v>
      </c>
      <c r="N7" s="48">
        <f>VLOOKUP($N$1,'ipc empalme ipim'!$A:$B,2,FALSE)</f>
        <v>184.2552</v>
      </c>
    </row>
    <row r="8" spans="1:14" x14ac:dyDescent="0.2">
      <c r="A8" s="3" t="s">
        <v>7</v>
      </c>
      <c r="B8" s="49">
        <f>VLOOKUP($B$1,'ipc empalme ipim'!$A:$B,2,FALSE)</f>
        <v>124.79559999999999</v>
      </c>
      <c r="C8" s="48">
        <f>VLOOKUP($C$1,'ipc empalme ipim'!$A:$B,2,FALSE)</f>
        <v>126.98869999999999</v>
      </c>
      <c r="D8" s="48">
        <f>VLOOKUP($D$1,'ipc empalme ipim'!$A:$B,2,FALSE)</f>
        <v>130.06059999999999</v>
      </c>
      <c r="E8" s="48">
        <f>VLOOKUP($E$1,'ipc empalme ipim'!$A:$B,2,FALSE)</f>
        <v>133.1054</v>
      </c>
      <c r="F8" s="48">
        <f>VLOOKUP($F$1,'ipc empalme ipim'!$A:$B,2,FALSE)</f>
        <v>136.75120000000001</v>
      </c>
      <c r="G8" s="48">
        <f>VLOOKUP($G$1,'ipc empalme ipim'!$A:$B,2,FALSE)</f>
        <v>139.58930000000001</v>
      </c>
      <c r="H8" s="48">
        <f>VLOOKUP($H$1,'ipc empalme ipim'!$A:$B,2,FALSE)</f>
        <v>144.80529999999999</v>
      </c>
      <c r="I8" s="48">
        <f>VLOOKUP($I$1,'ipc empalme ipim'!$A:$B,2,FALSE)</f>
        <v>149.29660000000001</v>
      </c>
      <c r="J8" s="48">
        <f>VLOOKUP($J$1,'ipc empalme ipim'!$A:$B,2,FALSE)</f>
        <v>155.10339999999999</v>
      </c>
      <c r="K8" s="48">
        <f>VLOOKUP($K$1,'ipc empalme ipim'!$A:$B,2,FALSE)</f>
        <v>165.23830000000001</v>
      </c>
      <c r="L8" s="48">
        <f>VLOOKUP($L$1,'ipc empalme ipim'!$A:$B,2,FALSE)</f>
        <v>174.1473</v>
      </c>
      <c r="M8" s="48">
        <f>VLOOKUP($M$1,'ipc empalme ipim'!$A:$B,2,FALSE)</f>
        <v>179.6388</v>
      </c>
      <c r="N8" s="48">
        <f>VLOOKUP($N$1,'ipc empalme ipim'!$A:$B,2,FALSE)</f>
        <v>184.2552</v>
      </c>
    </row>
    <row r="9" spans="1:14" x14ac:dyDescent="0.2">
      <c r="A9" s="3" t="s">
        <v>8</v>
      </c>
      <c r="B9" s="49">
        <f>VLOOKUP($B$1,'ipc empalme ipim'!$A:$B,2,FALSE)</f>
        <v>124.79559999999999</v>
      </c>
      <c r="C9" s="48">
        <f>VLOOKUP($C$1,'ipc empalme ipim'!$A:$B,2,FALSE)</f>
        <v>126.98869999999999</v>
      </c>
      <c r="D9" s="48">
        <f>VLOOKUP($D$1,'ipc empalme ipim'!$A:$B,2,FALSE)</f>
        <v>130.06059999999999</v>
      </c>
      <c r="E9" s="48">
        <f>VLOOKUP($E$1,'ipc empalme ipim'!$A:$B,2,FALSE)</f>
        <v>133.1054</v>
      </c>
      <c r="F9" s="48">
        <f>VLOOKUP($F$1,'ipc empalme ipim'!$A:$B,2,FALSE)</f>
        <v>136.75120000000001</v>
      </c>
      <c r="G9" s="48">
        <f>VLOOKUP($G$1,'ipc empalme ipim'!$A:$B,2,FALSE)</f>
        <v>139.58930000000001</v>
      </c>
      <c r="H9" s="48">
        <f>VLOOKUP($H$1,'ipc empalme ipim'!$A:$B,2,FALSE)</f>
        <v>144.80529999999999</v>
      </c>
      <c r="I9" s="48">
        <f>VLOOKUP($I$1,'ipc empalme ipim'!$A:$B,2,FALSE)</f>
        <v>149.29660000000001</v>
      </c>
      <c r="J9" s="48">
        <f>VLOOKUP($J$1,'ipc empalme ipim'!$A:$B,2,FALSE)</f>
        <v>155.10339999999999</v>
      </c>
      <c r="K9" s="48">
        <f>VLOOKUP($K$1,'ipc empalme ipim'!$A:$B,2,FALSE)</f>
        <v>165.23830000000001</v>
      </c>
      <c r="L9" s="48">
        <f>VLOOKUP($L$1,'ipc empalme ipim'!$A:$B,2,FALSE)</f>
        <v>174.1473</v>
      </c>
      <c r="M9" s="48">
        <f>VLOOKUP($M$1,'ipc empalme ipim'!$A:$B,2,FALSE)</f>
        <v>179.6388</v>
      </c>
      <c r="N9" s="48">
        <f>VLOOKUP($N$1,'ipc empalme ipim'!$A:$B,2,FALSE)</f>
        <v>184.2552</v>
      </c>
    </row>
    <row r="10" spans="1:14" x14ac:dyDescent="0.2">
      <c r="A10" s="3" t="s">
        <v>9</v>
      </c>
      <c r="B10" s="49">
        <f>VLOOKUP($B$1,'ipc empalme ipim'!$A:$B,2,FALSE)</f>
        <v>124.79559999999999</v>
      </c>
      <c r="C10" s="48">
        <f>VLOOKUP($C$1,'ipc empalme ipim'!$A:$B,2,FALSE)</f>
        <v>126.98869999999999</v>
      </c>
      <c r="D10" s="48">
        <f>VLOOKUP($D$1,'ipc empalme ipim'!$A:$B,2,FALSE)</f>
        <v>130.06059999999999</v>
      </c>
      <c r="E10" s="48">
        <f>VLOOKUP($E$1,'ipc empalme ipim'!$A:$B,2,FALSE)</f>
        <v>133.1054</v>
      </c>
      <c r="F10" s="48">
        <f>VLOOKUP($F$1,'ipc empalme ipim'!$A:$B,2,FALSE)</f>
        <v>136.75120000000001</v>
      </c>
      <c r="G10" s="48">
        <f>VLOOKUP($G$1,'ipc empalme ipim'!$A:$B,2,FALSE)</f>
        <v>139.58930000000001</v>
      </c>
      <c r="H10" s="48">
        <f>VLOOKUP($H$1,'ipc empalme ipim'!$A:$B,2,FALSE)</f>
        <v>144.80529999999999</v>
      </c>
      <c r="I10" s="48">
        <f>VLOOKUP($I$1,'ipc empalme ipim'!$A:$B,2,FALSE)</f>
        <v>149.29660000000001</v>
      </c>
      <c r="J10" s="48">
        <f>VLOOKUP($J$1,'ipc empalme ipim'!$A:$B,2,FALSE)</f>
        <v>155.10339999999999</v>
      </c>
      <c r="K10" s="48">
        <f>VLOOKUP($K$1,'ipc empalme ipim'!$A:$B,2,FALSE)</f>
        <v>165.23830000000001</v>
      </c>
      <c r="L10" s="48">
        <f>VLOOKUP($L$1,'ipc empalme ipim'!$A:$B,2,FALSE)</f>
        <v>174.1473</v>
      </c>
      <c r="M10" s="48">
        <f>VLOOKUP($M$1,'ipc empalme ipim'!$A:$B,2,FALSE)</f>
        <v>179.6388</v>
      </c>
      <c r="N10" s="48">
        <f>VLOOKUP($N$1,'ipc empalme ipim'!$A:$B,2,FALSE)</f>
        <v>184.2552</v>
      </c>
    </row>
    <row r="11" spans="1:14" x14ac:dyDescent="0.2">
      <c r="A11" s="3" t="s">
        <v>10</v>
      </c>
      <c r="B11" s="49">
        <f>VLOOKUP($B$1,'ipc empalme ipim'!$A:$B,2,FALSE)</f>
        <v>124.79559999999999</v>
      </c>
      <c r="C11" s="48">
        <f>VLOOKUP($C$1,'ipc empalme ipim'!$A:$B,2,FALSE)</f>
        <v>126.98869999999999</v>
      </c>
      <c r="D11" s="48">
        <f>VLOOKUP($D$1,'ipc empalme ipim'!$A:$B,2,FALSE)</f>
        <v>130.06059999999999</v>
      </c>
      <c r="E11" s="48">
        <f>VLOOKUP($E$1,'ipc empalme ipim'!$A:$B,2,FALSE)</f>
        <v>133.1054</v>
      </c>
      <c r="F11" s="48">
        <f>VLOOKUP($F$1,'ipc empalme ipim'!$A:$B,2,FALSE)</f>
        <v>136.75120000000001</v>
      </c>
      <c r="G11" s="48">
        <f>VLOOKUP($G$1,'ipc empalme ipim'!$A:$B,2,FALSE)</f>
        <v>139.58930000000001</v>
      </c>
      <c r="H11" s="48">
        <f>VLOOKUP($H$1,'ipc empalme ipim'!$A:$B,2,FALSE)</f>
        <v>144.80529999999999</v>
      </c>
      <c r="I11" s="48">
        <f>VLOOKUP($I$1,'ipc empalme ipim'!$A:$B,2,FALSE)</f>
        <v>149.29660000000001</v>
      </c>
      <c r="J11" s="48">
        <f>VLOOKUP($J$1,'ipc empalme ipim'!$A:$B,2,FALSE)</f>
        <v>155.10339999999999</v>
      </c>
      <c r="K11" s="48">
        <f>VLOOKUP($K$1,'ipc empalme ipim'!$A:$B,2,FALSE)</f>
        <v>165.23830000000001</v>
      </c>
      <c r="L11" s="48">
        <f>VLOOKUP($L$1,'ipc empalme ipim'!$A:$B,2,FALSE)</f>
        <v>174.1473</v>
      </c>
      <c r="M11" s="48">
        <f>VLOOKUP($M$1,'ipc empalme ipim'!$A:$B,2,FALSE)</f>
        <v>179.6388</v>
      </c>
      <c r="N11" s="48">
        <f>VLOOKUP($N$1,'ipc empalme ipim'!$A:$B,2,FALSE)</f>
        <v>184.2552</v>
      </c>
    </row>
    <row r="12" spans="1:14" ht="13.5" thickBot="1" x14ac:dyDescent="0.25">
      <c r="A12" s="5" t="s">
        <v>11</v>
      </c>
      <c r="B12" s="50">
        <f>VLOOKUP($B$1,'ipc empalme ipim'!$A:$B,2,FALSE)</f>
        <v>124.79559999999999</v>
      </c>
      <c r="C12" s="51">
        <f>VLOOKUP($C$1,'ipc empalme ipim'!$A:$B,2,FALSE)</f>
        <v>126.98869999999999</v>
      </c>
      <c r="D12" s="51">
        <f>VLOOKUP($D$1,'ipc empalme ipim'!$A:$B,2,FALSE)</f>
        <v>130.06059999999999</v>
      </c>
      <c r="E12" s="51">
        <f>VLOOKUP($E$1,'ipc empalme ipim'!$A:$B,2,FALSE)</f>
        <v>133.1054</v>
      </c>
      <c r="F12" s="51">
        <f>VLOOKUP($F$1,'ipc empalme ipim'!$A:$B,2,FALSE)</f>
        <v>136.75120000000001</v>
      </c>
      <c r="G12" s="51">
        <f>VLOOKUP($G$1,'ipc empalme ipim'!$A:$B,2,FALSE)</f>
        <v>139.58930000000001</v>
      </c>
      <c r="H12" s="51">
        <f>VLOOKUP($H$1,'ipc empalme ipim'!$A:$B,2,FALSE)</f>
        <v>144.80529999999999</v>
      </c>
      <c r="I12" s="51">
        <f>VLOOKUP($I$1,'ipc empalme ipim'!$A:$B,2,FALSE)</f>
        <v>149.29660000000001</v>
      </c>
      <c r="J12" s="51">
        <f>VLOOKUP($J$1,'ipc empalme ipim'!$A:$B,2,FALSE)</f>
        <v>155.10339999999999</v>
      </c>
      <c r="K12" s="51">
        <f>VLOOKUP($K$1,'ipc empalme ipim'!$A:$B,2,FALSE)</f>
        <v>165.23830000000001</v>
      </c>
      <c r="L12" s="51">
        <f>VLOOKUP($L$1,'ipc empalme ipim'!$A:$B,2,FALSE)</f>
        <v>174.1473</v>
      </c>
      <c r="M12" s="51">
        <f>VLOOKUP($M$1,'ipc empalme ipim'!$A:$B,2,FALSE)</f>
        <v>179.6388</v>
      </c>
      <c r="N12" s="51">
        <f>VLOOKUP($N$1,'ipc empalme ipim'!$A:$B,2,FALSE)</f>
        <v>184.2552</v>
      </c>
    </row>
    <row r="13" spans="1:14" x14ac:dyDescent="0.2">
      <c r="A13" s="3" t="s">
        <v>12</v>
      </c>
      <c r="B13" s="49">
        <f>VLOOKUP($B$1,'ipc empalme ipim'!$A:$B,2,FALSE)</f>
        <v>124.79559999999999</v>
      </c>
      <c r="C13" s="48">
        <f>VLOOKUP($C$1,'ipc empalme ipim'!$A:$B,2,FALSE)</f>
        <v>126.98869999999999</v>
      </c>
      <c r="D13" s="48">
        <f>VLOOKUP($D$1,'ipc empalme ipim'!$A:$B,2,FALSE)</f>
        <v>130.06059999999999</v>
      </c>
      <c r="E13" s="48">
        <f>VLOOKUP($E$1,'ipc empalme ipim'!$A:$B,2,FALSE)</f>
        <v>133.1054</v>
      </c>
      <c r="F13" s="48">
        <f>VLOOKUP($F$1,'ipc empalme ipim'!$A:$B,2,FALSE)</f>
        <v>136.75120000000001</v>
      </c>
      <c r="G13" s="48">
        <f>VLOOKUP($G$1,'ipc empalme ipim'!$A:$B,2,FALSE)</f>
        <v>139.58930000000001</v>
      </c>
      <c r="H13" s="48">
        <f>VLOOKUP($H$1,'ipc empalme ipim'!$A:$B,2,FALSE)</f>
        <v>144.80529999999999</v>
      </c>
      <c r="I13" s="48">
        <f>VLOOKUP($I$1,'ipc empalme ipim'!$A:$B,2,FALSE)</f>
        <v>149.29660000000001</v>
      </c>
      <c r="J13" s="48">
        <f>VLOOKUP($J$1,'ipc empalme ipim'!$A:$B,2,FALSE)</f>
        <v>155.10339999999999</v>
      </c>
      <c r="K13" s="48">
        <f>VLOOKUP($K$1,'ipc empalme ipim'!$A:$B,2,FALSE)</f>
        <v>165.23830000000001</v>
      </c>
      <c r="L13" s="48">
        <f>VLOOKUP($L$1,'ipc empalme ipim'!$A:$B,2,FALSE)</f>
        <v>174.1473</v>
      </c>
      <c r="M13" s="48">
        <f>VLOOKUP($M$1,'ipc empalme ipim'!$A:$B,2,FALSE)</f>
        <v>179.6388</v>
      </c>
      <c r="N13" s="48">
        <f>VLOOKUP($N$1,'ipc empalme ipim'!$A:$B,2,FALSE)</f>
        <v>184.2552</v>
      </c>
    </row>
    <row r="14" spans="1:14" x14ac:dyDescent="0.2">
      <c r="A14" s="3" t="s">
        <v>13</v>
      </c>
      <c r="B14" s="49">
        <f>VLOOKUP($B$1,'ipc empalme ipim'!$A:$B,2,FALSE)</f>
        <v>124.79559999999999</v>
      </c>
      <c r="C14" s="48">
        <f>VLOOKUP($C$1,'ipc empalme ipim'!$A:$B,2,FALSE)</f>
        <v>126.98869999999999</v>
      </c>
      <c r="D14" s="48">
        <f>VLOOKUP($D$1,'ipc empalme ipim'!$A:$B,2,FALSE)</f>
        <v>130.06059999999999</v>
      </c>
      <c r="E14" s="48">
        <f>VLOOKUP($E$1,'ipc empalme ipim'!$A:$B,2,FALSE)</f>
        <v>133.1054</v>
      </c>
      <c r="F14" s="48">
        <f>VLOOKUP($F$1,'ipc empalme ipim'!$A:$B,2,FALSE)</f>
        <v>136.75120000000001</v>
      </c>
      <c r="G14" s="48">
        <f>VLOOKUP($G$1,'ipc empalme ipim'!$A:$B,2,FALSE)</f>
        <v>139.58930000000001</v>
      </c>
      <c r="H14" s="48">
        <f>VLOOKUP($H$1,'ipc empalme ipim'!$A:$B,2,FALSE)</f>
        <v>144.80529999999999</v>
      </c>
      <c r="I14" s="48">
        <f>VLOOKUP($I$1,'ipc empalme ipim'!$A:$B,2,FALSE)</f>
        <v>149.29660000000001</v>
      </c>
      <c r="J14" s="48">
        <f>VLOOKUP($J$1,'ipc empalme ipim'!$A:$B,2,FALSE)</f>
        <v>155.10339999999999</v>
      </c>
      <c r="K14" s="48">
        <f>VLOOKUP($K$1,'ipc empalme ipim'!$A:$B,2,FALSE)</f>
        <v>165.23830000000001</v>
      </c>
      <c r="L14" s="48">
        <f>VLOOKUP($L$1,'ipc empalme ipim'!$A:$B,2,FALSE)</f>
        <v>174.1473</v>
      </c>
      <c r="M14" s="48">
        <f>VLOOKUP($M$1,'ipc empalme ipim'!$A:$B,2,FALSE)</f>
        <v>179.6388</v>
      </c>
      <c r="N14" s="48">
        <f>VLOOKUP($N$1,'ipc empalme ipim'!$A:$B,2,FALSE)</f>
        <v>184.2552</v>
      </c>
    </row>
    <row r="15" spans="1:14" x14ac:dyDescent="0.2">
      <c r="A15" s="3" t="s">
        <v>14</v>
      </c>
      <c r="B15" s="49">
        <f>VLOOKUP($B$1,'ipc empalme ipim'!$A:$B,2,FALSE)</f>
        <v>124.79559999999999</v>
      </c>
      <c r="C15" s="48">
        <f>VLOOKUP($C$1,'ipc empalme ipim'!$A:$B,2,FALSE)</f>
        <v>126.98869999999999</v>
      </c>
      <c r="D15" s="48">
        <f>VLOOKUP($D$1,'ipc empalme ipim'!$A:$B,2,FALSE)</f>
        <v>130.06059999999999</v>
      </c>
      <c r="E15" s="48">
        <f>VLOOKUP($E$1,'ipc empalme ipim'!$A:$B,2,FALSE)</f>
        <v>133.1054</v>
      </c>
      <c r="F15" s="48">
        <f>VLOOKUP($F$1,'ipc empalme ipim'!$A:$B,2,FALSE)</f>
        <v>136.75120000000001</v>
      </c>
      <c r="G15" s="48">
        <f>VLOOKUP($G$1,'ipc empalme ipim'!$A:$B,2,FALSE)</f>
        <v>139.58930000000001</v>
      </c>
      <c r="H15" s="48">
        <f>VLOOKUP($H$1,'ipc empalme ipim'!$A:$B,2,FALSE)</f>
        <v>144.80529999999999</v>
      </c>
      <c r="I15" s="48">
        <f>VLOOKUP($I$1,'ipc empalme ipim'!$A:$B,2,FALSE)</f>
        <v>149.29660000000001</v>
      </c>
      <c r="J15" s="48">
        <f>VLOOKUP($J$1,'ipc empalme ipim'!$A:$B,2,FALSE)</f>
        <v>155.10339999999999</v>
      </c>
      <c r="K15" s="48">
        <f>VLOOKUP($K$1,'ipc empalme ipim'!$A:$B,2,FALSE)</f>
        <v>165.23830000000001</v>
      </c>
      <c r="L15" s="48">
        <f>VLOOKUP($L$1,'ipc empalme ipim'!$A:$B,2,FALSE)</f>
        <v>174.1473</v>
      </c>
      <c r="M15" s="48">
        <f>VLOOKUP($M$1,'ipc empalme ipim'!$A:$B,2,FALSE)</f>
        <v>179.6388</v>
      </c>
      <c r="N15" s="48">
        <f>VLOOKUP($N$1,'ipc empalme ipim'!$A:$B,2,FALSE)</f>
        <v>184.2552</v>
      </c>
    </row>
    <row r="16" spans="1:14" ht="13.5" thickBot="1" x14ac:dyDescent="0.25">
      <c r="A16" s="7" t="s">
        <v>15</v>
      </c>
      <c r="B16" s="52">
        <f>VLOOKUP($B$1,'ipc empalme ipim'!$A:$B,2,FALSE)</f>
        <v>124.79559999999999</v>
      </c>
      <c r="C16" s="53">
        <f>VLOOKUP($C$1,'ipc empalme ipim'!$A:$B,2,FALSE)</f>
        <v>126.98869999999999</v>
      </c>
      <c r="D16" s="53">
        <f>VLOOKUP($D$1,'ipc empalme ipim'!$A:$B,2,FALSE)</f>
        <v>130.06059999999999</v>
      </c>
      <c r="E16" s="53">
        <f>VLOOKUP($E$1,'ipc empalme ipim'!$A:$B,2,FALSE)</f>
        <v>133.1054</v>
      </c>
      <c r="F16" s="53">
        <f>VLOOKUP($F$1,'ipc empalme ipim'!$A:$B,2,FALSE)</f>
        <v>136.75120000000001</v>
      </c>
      <c r="G16" s="53">
        <f>VLOOKUP($G$1,'ipc empalme ipim'!$A:$B,2,FALSE)</f>
        <v>139.58930000000001</v>
      </c>
      <c r="H16" s="53">
        <f>VLOOKUP($H$1,'ipc empalme ipim'!$A:$B,2,FALSE)</f>
        <v>144.80529999999999</v>
      </c>
      <c r="I16" s="53">
        <f>VLOOKUP($I$1,'ipc empalme ipim'!$A:$B,2,FALSE)</f>
        <v>149.29660000000001</v>
      </c>
      <c r="J16" s="53">
        <f>VLOOKUP($J$1,'ipc empalme ipim'!$A:$B,2,FALSE)</f>
        <v>155.10339999999999</v>
      </c>
      <c r="K16" s="53">
        <f>VLOOKUP($K$1,'ipc empalme ipim'!$A:$B,2,FALSE)</f>
        <v>165.23830000000001</v>
      </c>
      <c r="L16" s="53">
        <f>VLOOKUP($L$1,'ipc empalme ipim'!$A:$B,2,FALSE)</f>
        <v>174.1473</v>
      </c>
      <c r="M16" s="53">
        <f>VLOOKUP($M$1,'ipc empalme ipim'!$A:$B,2,FALSE)</f>
        <v>179.6388</v>
      </c>
      <c r="N16" s="53">
        <f>VLOOKUP($N$1,'ipc empalme ipim'!$A:$B,2,FALSE)</f>
        <v>184.2552</v>
      </c>
    </row>
    <row r="17" spans="1:17" x14ac:dyDescent="0.2">
      <c r="A17" s="3" t="s">
        <v>16</v>
      </c>
      <c r="B17" s="49">
        <f>VLOOKUP($B$1,'ipc empalme ipim'!$A:$B,2,FALSE)</f>
        <v>124.79559999999999</v>
      </c>
      <c r="C17" s="48">
        <f>VLOOKUP($C$1,'ipc empalme ipim'!$A:$B,2,FALSE)</f>
        <v>126.98869999999999</v>
      </c>
      <c r="D17" s="48">
        <f>VLOOKUP($D$1,'ipc empalme ipim'!$A:$B,2,FALSE)</f>
        <v>130.06059999999999</v>
      </c>
      <c r="E17" s="48">
        <f>VLOOKUP($E$1,'ipc empalme ipim'!$A:$B,2,FALSE)</f>
        <v>133.1054</v>
      </c>
      <c r="F17" s="48">
        <f>VLOOKUP($F$1,'ipc empalme ipim'!$A:$B,2,FALSE)</f>
        <v>136.75120000000001</v>
      </c>
      <c r="G17" s="48">
        <f>VLOOKUP($G$1,'ipc empalme ipim'!$A:$B,2,FALSE)</f>
        <v>139.58930000000001</v>
      </c>
      <c r="H17" s="48">
        <f>VLOOKUP($H$1,'ipc empalme ipim'!$A:$B,2,FALSE)</f>
        <v>144.80529999999999</v>
      </c>
      <c r="I17" s="48">
        <f>VLOOKUP($I$1,'ipc empalme ipim'!$A:$B,2,FALSE)</f>
        <v>149.29660000000001</v>
      </c>
      <c r="J17" s="48">
        <f>VLOOKUP($J$1,'ipc empalme ipim'!$A:$B,2,FALSE)</f>
        <v>155.10339999999999</v>
      </c>
      <c r="K17" s="48">
        <f>VLOOKUP($K$1,'ipc empalme ipim'!$A:$B,2,FALSE)</f>
        <v>165.23830000000001</v>
      </c>
      <c r="L17" s="48">
        <f>VLOOKUP($L$1,'ipc empalme ipim'!$A:$B,2,FALSE)</f>
        <v>174.1473</v>
      </c>
      <c r="M17" s="48">
        <f>VLOOKUP($M$1,'ipc empalme ipim'!$A:$B,2,FALSE)</f>
        <v>179.6388</v>
      </c>
      <c r="N17" s="48">
        <f>VLOOKUP($N$1,'ipc empalme ipim'!$A:$B,2,FALSE)</f>
        <v>184.2552</v>
      </c>
    </row>
    <row r="18" spans="1:17" x14ac:dyDescent="0.2">
      <c r="A18" s="3" t="s">
        <v>17</v>
      </c>
      <c r="B18" s="49">
        <f>VLOOKUP($B$1,'ipc empalme ipim'!$A:$B,2,FALSE)</f>
        <v>124.79559999999999</v>
      </c>
      <c r="C18" s="48">
        <f>VLOOKUP($C$1,'ipc empalme ipim'!$A:$B,2,FALSE)</f>
        <v>126.98869999999999</v>
      </c>
      <c r="D18" s="48">
        <f>VLOOKUP($D$1,'ipc empalme ipim'!$A:$B,2,FALSE)</f>
        <v>130.06059999999999</v>
      </c>
      <c r="E18" s="48">
        <f>VLOOKUP($E$1,'ipc empalme ipim'!$A:$B,2,FALSE)</f>
        <v>133.1054</v>
      </c>
      <c r="F18" s="48">
        <f>VLOOKUP($F$1,'ipc empalme ipim'!$A:$B,2,FALSE)</f>
        <v>136.75120000000001</v>
      </c>
      <c r="G18" s="48">
        <f>VLOOKUP($G$1,'ipc empalme ipim'!$A:$B,2,FALSE)</f>
        <v>139.58930000000001</v>
      </c>
      <c r="H18" s="48">
        <f>VLOOKUP($H$1,'ipc empalme ipim'!$A:$B,2,FALSE)</f>
        <v>144.80529999999999</v>
      </c>
      <c r="I18" s="48">
        <f>VLOOKUP($I$1,'ipc empalme ipim'!$A:$B,2,FALSE)</f>
        <v>149.29660000000001</v>
      </c>
      <c r="J18" s="48">
        <f>VLOOKUP($J$1,'ipc empalme ipim'!$A:$B,2,FALSE)</f>
        <v>155.10339999999999</v>
      </c>
      <c r="K18" s="48">
        <f>VLOOKUP($K$1,'ipc empalme ipim'!$A:$B,2,FALSE)</f>
        <v>165.23830000000001</v>
      </c>
      <c r="L18" s="48">
        <f>VLOOKUP($L$1,'ipc empalme ipim'!$A:$B,2,FALSE)</f>
        <v>174.1473</v>
      </c>
      <c r="M18" s="48">
        <f>VLOOKUP($M$1,'ipc empalme ipim'!$A:$B,2,FALSE)</f>
        <v>179.6388</v>
      </c>
      <c r="N18" s="48">
        <f>VLOOKUP($N$1,'ipc empalme ipim'!$A:$B,2,FALSE)</f>
        <v>184.2552</v>
      </c>
    </row>
    <row r="19" spans="1:17" x14ac:dyDescent="0.2">
      <c r="A19" s="3" t="s">
        <v>18</v>
      </c>
      <c r="B19" s="49">
        <f>VLOOKUP($B$1,'ipc empalme ipim'!$A:$B,2,FALSE)</f>
        <v>124.79559999999999</v>
      </c>
      <c r="C19" s="48">
        <f>VLOOKUP($C$1,'ipc empalme ipim'!$A:$B,2,FALSE)</f>
        <v>126.98869999999999</v>
      </c>
      <c r="D19" s="48">
        <f>VLOOKUP($D$1,'ipc empalme ipim'!$A:$B,2,FALSE)</f>
        <v>130.06059999999999</v>
      </c>
      <c r="E19" s="48">
        <f>VLOOKUP($E$1,'ipc empalme ipim'!$A:$B,2,FALSE)</f>
        <v>133.1054</v>
      </c>
      <c r="F19" s="48">
        <f>VLOOKUP($F$1,'ipc empalme ipim'!$A:$B,2,FALSE)</f>
        <v>136.75120000000001</v>
      </c>
      <c r="G19" s="48">
        <f>VLOOKUP($G$1,'ipc empalme ipim'!$A:$B,2,FALSE)</f>
        <v>139.58930000000001</v>
      </c>
      <c r="H19" s="48">
        <f>VLOOKUP($H$1,'ipc empalme ipim'!$A:$B,2,FALSE)</f>
        <v>144.80529999999999</v>
      </c>
      <c r="I19" s="48">
        <f>VLOOKUP($I$1,'ipc empalme ipim'!$A:$B,2,FALSE)</f>
        <v>149.29660000000001</v>
      </c>
      <c r="J19" s="48">
        <f>VLOOKUP($J$1,'ipc empalme ipim'!$A:$B,2,FALSE)</f>
        <v>155.10339999999999</v>
      </c>
      <c r="K19" s="48">
        <f>VLOOKUP($K$1,'ipc empalme ipim'!$A:$B,2,FALSE)</f>
        <v>165.23830000000001</v>
      </c>
      <c r="L19" s="48">
        <f>VLOOKUP($L$1,'ipc empalme ipim'!$A:$B,2,FALSE)</f>
        <v>174.1473</v>
      </c>
      <c r="M19" s="48">
        <f>VLOOKUP($M$1,'ipc empalme ipim'!$A:$B,2,FALSE)</f>
        <v>179.6388</v>
      </c>
      <c r="N19" s="48">
        <f>VLOOKUP($N$1,'ipc empalme ipim'!$A:$B,2,FALSE)</f>
        <v>184.2552</v>
      </c>
    </row>
    <row r="20" spans="1:17" x14ac:dyDescent="0.2">
      <c r="A20" s="3" t="s">
        <v>19</v>
      </c>
      <c r="B20" s="49">
        <f>VLOOKUP($B$1,'ipc empalme ipim'!$A:$B,2,FALSE)</f>
        <v>124.79559999999999</v>
      </c>
      <c r="C20" s="48">
        <f>VLOOKUP($C$1,'ipc empalme ipim'!$A:$B,2,FALSE)</f>
        <v>126.98869999999999</v>
      </c>
      <c r="D20" s="48">
        <f>VLOOKUP($D$1,'ipc empalme ipim'!$A:$B,2,FALSE)</f>
        <v>130.06059999999999</v>
      </c>
      <c r="E20" s="48">
        <f>VLOOKUP($E$1,'ipc empalme ipim'!$A:$B,2,FALSE)</f>
        <v>133.1054</v>
      </c>
      <c r="F20" s="48">
        <f>VLOOKUP($F$1,'ipc empalme ipim'!$A:$B,2,FALSE)</f>
        <v>136.75120000000001</v>
      </c>
      <c r="G20" s="48">
        <f>VLOOKUP($G$1,'ipc empalme ipim'!$A:$B,2,FALSE)</f>
        <v>139.58930000000001</v>
      </c>
      <c r="H20" s="48">
        <f>VLOOKUP($H$1,'ipc empalme ipim'!$A:$B,2,FALSE)</f>
        <v>144.80529999999999</v>
      </c>
      <c r="I20" s="48">
        <f>VLOOKUP($I$1,'ipc empalme ipim'!$A:$B,2,FALSE)</f>
        <v>149.29660000000001</v>
      </c>
      <c r="J20" s="48">
        <f>VLOOKUP($J$1,'ipc empalme ipim'!$A:$B,2,FALSE)</f>
        <v>155.10339999999999</v>
      </c>
      <c r="K20" s="48">
        <f>VLOOKUP($K$1,'ipc empalme ipim'!$A:$B,2,FALSE)</f>
        <v>165.23830000000001</v>
      </c>
      <c r="L20" s="48">
        <f>VLOOKUP($L$1,'ipc empalme ipim'!$A:$B,2,FALSE)</f>
        <v>174.1473</v>
      </c>
      <c r="M20" s="48">
        <f>VLOOKUP($M$1,'ipc empalme ipim'!$A:$B,2,FALSE)</f>
        <v>179.6388</v>
      </c>
      <c r="N20" s="48">
        <f>VLOOKUP($N$1,'ipc empalme ipim'!$A:$B,2,FALSE)</f>
        <v>184.2552</v>
      </c>
    </row>
    <row r="21" spans="1:17" x14ac:dyDescent="0.2">
      <c r="A21" s="3" t="s">
        <v>20</v>
      </c>
      <c r="B21" s="49">
        <f>VLOOKUP($B$1,'ipc empalme ipim'!$A:$B,2,FALSE)</f>
        <v>124.79559999999999</v>
      </c>
      <c r="C21" s="48">
        <f>VLOOKUP($C$1,'ipc empalme ipim'!$A:$B,2,FALSE)</f>
        <v>126.98869999999999</v>
      </c>
      <c r="D21" s="48">
        <f>VLOOKUP($D$1,'ipc empalme ipim'!$A:$B,2,FALSE)</f>
        <v>130.06059999999999</v>
      </c>
      <c r="E21" s="48">
        <f>VLOOKUP($E$1,'ipc empalme ipim'!$A:$B,2,FALSE)</f>
        <v>133.1054</v>
      </c>
      <c r="F21" s="48">
        <f>VLOOKUP($F$1,'ipc empalme ipim'!$A:$B,2,FALSE)</f>
        <v>136.75120000000001</v>
      </c>
      <c r="G21" s="48">
        <f>VLOOKUP($G$1,'ipc empalme ipim'!$A:$B,2,FALSE)</f>
        <v>139.58930000000001</v>
      </c>
      <c r="H21" s="48">
        <f>VLOOKUP($H$1,'ipc empalme ipim'!$A:$B,2,FALSE)</f>
        <v>144.80529999999999</v>
      </c>
      <c r="I21" s="48">
        <f>VLOOKUP($I$1,'ipc empalme ipim'!$A:$B,2,FALSE)</f>
        <v>149.29660000000001</v>
      </c>
      <c r="J21" s="48">
        <f>VLOOKUP($J$1,'ipc empalme ipim'!$A:$B,2,FALSE)</f>
        <v>155.10339999999999</v>
      </c>
      <c r="K21" s="48">
        <f>VLOOKUP($K$1,'ipc empalme ipim'!$A:$B,2,FALSE)</f>
        <v>165.23830000000001</v>
      </c>
      <c r="L21" s="48">
        <f>VLOOKUP($L$1,'ipc empalme ipim'!$A:$B,2,FALSE)</f>
        <v>174.1473</v>
      </c>
      <c r="M21" s="48">
        <f>VLOOKUP($M$1,'ipc empalme ipim'!$A:$B,2,FALSE)</f>
        <v>179.6388</v>
      </c>
      <c r="N21" s="48">
        <f>VLOOKUP($N$1,'ipc empalme ipim'!$A:$B,2,FALSE)</f>
        <v>184.2552</v>
      </c>
    </row>
    <row r="22" spans="1:17" x14ac:dyDescent="0.2">
      <c r="A22" s="3" t="s">
        <v>21</v>
      </c>
      <c r="B22" s="49">
        <f>VLOOKUP($B$1,'ipc empalme ipim'!$A:$B,2,FALSE)</f>
        <v>124.79559999999999</v>
      </c>
      <c r="C22" s="48">
        <f>VLOOKUP($C$1,'ipc empalme ipim'!$A:$B,2,FALSE)</f>
        <v>126.98869999999999</v>
      </c>
      <c r="D22" s="48">
        <f>VLOOKUP($D$1,'ipc empalme ipim'!$A:$B,2,FALSE)</f>
        <v>130.06059999999999</v>
      </c>
      <c r="E22" s="48">
        <f>VLOOKUP($E$1,'ipc empalme ipim'!$A:$B,2,FALSE)</f>
        <v>133.1054</v>
      </c>
      <c r="F22" s="48">
        <f>VLOOKUP($F$1,'ipc empalme ipim'!$A:$B,2,FALSE)</f>
        <v>136.75120000000001</v>
      </c>
      <c r="G22" s="48">
        <f>VLOOKUP($G$1,'ipc empalme ipim'!$A:$B,2,FALSE)</f>
        <v>139.58930000000001</v>
      </c>
      <c r="H22" s="48">
        <f>VLOOKUP($H$1,'ipc empalme ipim'!$A:$B,2,FALSE)</f>
        <v>144.80529999999999</v>
      </c>
      <c r="I22" s="48">
        <f>VLOOKUP($I$1,'ipc empalme ipim'!$A:$B,2,FALSE)</f>
        <v>149.29660000000001</v>
      </c>
      <c r="J22" s="48">
        <f>VLOOKUP($J$1,'ipc empalme ipim'!$A:$B,2,FALSE)</f>
        <v>155.10339999999999</v>
      </c>
      <c r="K22" s="48">
        <f>VLOOKUP($K$1,'ipc empalme ipim'!$A:$B,2,FALSE)</f>
        <v>165.23830000000001</v>
      </c>
      <c r="L22" s="48">
        <f>VLOOKUP($L$1,'ipc empalme ipim'!$A:$B,2,FALSE)</f>
        <v>174.1473</v>
      </c>
      <c r="M22" s="48">
        <f>VLOOKUP($M$1,'ipc empalme ipim'!$A:$B,2,FALSE)</f>
        <v>179.6388</v>
      </c>
      <c r="N22" s="48">
        <f>VLOOKUP($N$1,'ipc empalme ipim'!$A:$B,2,FALSE)</f>
        <v>184.2552</v>
      </c>
    </row>
    <row r="23" spans="1:17" x14ac:dyDescent="0.2">
      <c r="A23" s="3" t="s">
        <v>22</v>
      </c>
      <c r="B23" s="49">
        <f>VLOOKUP($B$1,'ipc empalme ipim'!$A:$B,2,FALSE)</f>
        <v>124.79559999999999</v>
      </c>
      <c r="C23" s="48">
        <f>VLOOKUP($C$1,'ipc empalme ipim'!$A:$B,2,FALSE)</f>
        <v>126.98869999999999</v>
      </c>
      <c r="D23" s="48">
        <f>VLOOKUP($D$1,'ipc empalme ipim'!$A:$B,2,FALSE)</f>
        <v>130.06059999999999</v>
      </c>
      <c r="E23" s="48">
        <f>VLOOKUP($E$1,'ipc empalme ipim'!$A:$B,2,FALSE)</f>
        <v>133.1054</v>
      </c>
      <c r="F23" s="48">
        <f>VLOOKUP($F$1,'ipc empalme ipim'!$A:$B,2,FALSE)</f>
        <v>136.75120000000001</v>
      </c>
      <c r="G23" s="48">
        <f>VLOOKUP($G$1,'ipc empalme ipim'!$A:$B,2,FALSE)</f>
        <v>139.58930000000001</v>
      </c>
      <c r="H23" s="48">
        <f>VLOOKUP($H$1,'ipc empalme ipim'!$A:$B,2,FALSE)</f>
        <v>144.80529999999999</v>
      </c>
      <c r="I23" s="48">
        <f>VLOOKUP($I$1,'ipc empalme ipim'!$A:$B,2,FALSE)</f>
        <v>149.29660000000001</v>
      </c>
      <c r="J23" s="48">
        <f>VLOOKUP($J$1,'ipc empalme ipim'!$A:$B,2,FALSE)</f>
        <v>155.10339999999999</v>
      </c>
      <c r="K23" s="48">
        <f>VLOOKUP($K$1,'ipc empalme ipim'!$A:$B,2,FALSE)</f>
        <v>165.23830000000001</v>
      </c>
      <c r="L23" s="48">
        <f>VLOOKUP($L$1,'ipc empalme ipim'!$A:$B,2,FALSE)</f>
        <v>174.1473</v>
      </c>
      <c r="M23" s="48">
        <f>VLOOKUP($M$1,'ipc empalme ipim'!$A:$B,2,FALSE)</f>
        <v>179.6388</v>
      </c>
      <c r="N23" s="48">
        <f>VLOOKUP($N$1,'ipc empalme ipim'!$A:$B,2,FALSE)</f>
        <v>184.2552</v>
      </c>
      <c r="O23" s="4"/>
      <c r="P23" s="4"/>
      <c r="Q23" s="4"/>
    </row>
    <row r="24" spans="1:17" x14ac:dyDescent="0.2">
      <c r="A24" s="3" t="s">
        <v>23</v>
      </c>
      <c r="B24" s="49">
        <f>VLOOKUP($B$1,'ipc empalme ipim'!$A:$B,2,FALSE)</f>
        <v>124.79559999999999</v>
      </c>
      <c r="C24" s="48">
        <f>VLOOKUP($C$1,'ipc empalme ipim'!$A:$B,2,FALSE)</f>
        <v>126.98869999999999</v>
      </c>
      <c r="D24" s="48">
        <f>VLOOKUP($D$1,'ipc empalme ipim'!$A:$B,2,FALSE)</f>
        <v>130.06059999999999</v>
      </c>
      <c r="E24" s="48">
        <f>VLOOKUP($E$1,'ipc empalme ipim'!$A:$B,2,FALSE)</f>
        <v>133.1054</v>
      </c>
      <c r="F24" s="48">
        <f>VLOOKUP($F$1,'ipc empalme ipim'!$A:$B,2,FALSE)</f>
        <v>136.75120000000001</v>
      </c>
      <c r="G24" s="48">
        <f>VLOOKUP($G$1,'ipc empalme ipim'!$A:$B,2,FALSE)</f>
        <v>139.58930000000001</v>
      </c>
      <c r="H24" s="48">
        <f>VLOOKUP($H$1,'ipc empalme ipim'!$A:$B,2,FALSE)</f>
        <v>144.80529999999999</v>
      </c>
      <c r="I24" s="48">
        <f>VLOOKUP($I$1,'ipc empalme ipim'!$A:$B,2,FALSE)</f>
        <v>149.29660000000001</v>
      </c>
      <c r="J24" s="48">
        <f>VLOOKUP($J$1,'ipc empalme ipim'!$A:$B,2,FALSE)</f>
        <v>155.10339999999999</v>
      </c>
      <c r="K24" s="48">
        <f>VLOOKUP($K$1,'ipc empalme ipim'!$A:$B,2,FALSE)</f>
        <v>165.23830000000001</v>
      </c>
      <c r="L24" s="48">
        <f>VLOOKUP($L$1,'ipc empalme ipim'!$A:$B,2,FALSE)</f>
        <v>174.1473</v>
      </c>
      <c r="M24" s="48">
        <f>VLOOKUP($M$1,'ipc empalme ipim'!$A:$B,2,FALSE)</f>
        <v>179.6388</v>
      </c>
      <c r="N24" s="48">
        <f>VLOOKUP($N$1,'ipc empalme ipim'!$A:$B,2,FALSE)</f>
        <v>184.2552</v>
      </c>
    </row>
    <row r="25" spans="1:17" x14ac:dyDescent="0.2">
      <c r="A25" s="3" t="s">
        <v>25</v>
      </c>
      <c r="B25" s="49">
        <f>VLOOKUP($B$1,'ipc empalme ipim'!$A:$B,2,FALSE)</f>
        <v>124.79559999999999</v>
      </c>
      <c r="C25" s="48">
        <f>VLOOKUP($C$1,'ipc empalme ipim'!$A:$B,2,FALSE)</f>
        <v>126.98869999999999</v>
      </c>
      <c r="D25" s="48">
        <f>VLOOKUP($D$1,'ipc empalme ipim'!$A:$B,2,FALSE)</f>
        <v>130.06059999999999</v>
      </c>
      <c r="E25" s="48">
        <f>VLOOKUP($E$1,'ipc empalme ipim'!$A:$B,2,FALSE)</f>
        <v>133.1054</v>
      </c>
      <c r="F25" s="48">
        <f>VLOOKUP($F$1,'ipc empalme ipim'!$A:$B,2,FALSE)</f>
        <v>136.75120000000001</v>
      </c>
      <c r="G25" s="48">
        <f>VLOOKUP($G$1,'ipc empalme ipim'!$A:$B,2,FALSE)</f>
        <v>139.58930000000001</v>
      </c>
      <c r="H25" s="48">
        <f>VLOOKUP($H$1,'ipc empalme ipim'!$A:$B,2,FALSE)</f>
        <v>144.80529999999999</v>
      </c>
      <c r="I25" s="48">
        <f>VLOOKUP($I$1,'ipc empalme ipim'!$A:$B,2,FALSE)</f>
        <v>149.29660000000001</v>
      </c>
      <c r="J25" s="48">
        <f>VLOOKUP($J$1,'ipc empalme ipim'!$A:$B,2,FALSE)</f>
        <v>155.10339999999999</v>
      </c>
      <c r="K25" s="48">
        <f>VLOOKUP($K$1,'ipc empalme ipim'!$A:$B,2,FALSE)</f>
        <v>165.23830000000001</v>
      </c>
      <c r="L25" s="48">
        <f>VLOOKUP($L$1,'ipc empalme ipim'!$A:$B,2,FALSE)</f>
        <v>174.1473</v>
      </c>
      <c r="M25" s="48">
        <f>VLOOKUP($M$1,'ipc empalme ipim'!$A:$B,2,FALSE)</f>
        <v>179.6388</v>
      </c>
      <c r="N25" s="48">
        <f>VLOOKUP($N$1,'ipc empalme ipim'!$A:$B,2,FALSE)</f>
        <v>184.2552</v>
      </c>
    </row>
    <row r="26" spans="1:17" x14ac:dyDescent="0.2">
      <c r="A26" s="3" t="s">
        <v>26</v>
      </c>
      <c r="B26" s="49">
        <f>VLOOKUP($B$1,'ipc empalme ipim'!$A:$B,2,FALSE)</f>
        <v>124.79559999999999</v>
      </c>
      <c r="C26" s="48">
        <f>VLOOKUP($C$1,'ipc empalme ipim'!$A:$B,2,FALSE)</f>
        <v>126.98869999999999</v>
      </c>
      <c r="D26" s="48">
        <f>VLOOKUP($D$1,'ipc empalme ipim'!$A:$B,2,FALSE)</f>
        <v>130.06059999999999</v>
      </c>
      <c r="E26" s="48">
        <f>VLOOKUP($E$1,'ipc empalme ipim'!$A:$B,2,FALSE)</f>
        <v>133.1054</v>
      </c>
      <c r="F26" s="48">
        <f>VLOOKUP($F$1,'ipc empalme ipim'!$A:$B,2,FALSE)</f>
        <v>136.75120000000001</v>
      </c>
      <c r="G26" s="48">
        <f>VLOOKUP($G$1,'ipc empalme ipim'!$A:$B,2,FALSE)</f>
        <v>139.58930000000001</v>
      </c>
      <c r="H26" s="48">
        <f>VLOOKUP($H$1,'ipc empalme ipim'!$A:$B,2,FALSE)</f>
        <v>144.80529999999999</v>
      </c>
      <c r="I26" s="48">
        <f>VLOOKUP($I$1,'ipc empalme ipim'!$A:$B,2,FALSE)</f>
        <v>149.29660000000001</v>
      </c>
      <c r="J26" s="48">
        <f>VLOOKUP($J$1,'ipc empalme ipim'!$A:$B,2,FALSE)</f>
        <v>155.10339999999999</v>
      </c>
      <c r="K26" s="48">
        <f>VLOOKUP($K$1,'ipc empalme ipim'!$A:$B,2,FALSE)</f>
        <v>165.23830000000001</v>
      </c>
      <c r="L26" s="48">
        <f>VLOOKUP($L$1,'ipc empalme ipim'!$A:$B,2,FALSE)</f>
        <v>174.1473</v>
      </c>
      <c r="M26" s="48">
        <f>VLOOKUP($M$1,'ipc empalme ipim'!$A:$B,2,FALSE)</f>
        <v>179.6388</v>
      </c>
      <c r="N26" s="48">
        <f>VLOOKUP($N$1,'ipc empalme ipim'!$A:$B,2,FALSE)</f>
        <v>184.2552</v>
      </c>
    </row>
    <row r="27" spans="1:17" x14ac:dyDescent="0.2">
      <c r="A27" s="9" t="s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9" spans="1:17" x14ac:dyDescent="0.2">
      <c r="B29" s="4"/>
      <c r="C29" s="4"/>
      <c r="D29" s="4"/>
      <c r="E29" s="4"/>
      <c r="F29" s="4"/>
    </row>
    <row r="30" spans="1:17" x14ac:dyDescent="0.2">
      <c r="B30" s="4"/>
      <c r="C30" s="4"/>
      <c r="D30" s="4"/>
      <c r="E30" s="4"/>
      <c r="F30" s="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activeCell="D7" sqref="D7"/>
    </sheetView>
  </sheetViews>
  <sheetFormatPr baseColWidth="10" defaultRowHeight="12.75" x14ac:dyDescent="0.2"/>
  <cols>
    <col min="1" max="1" width="42.28515625" style="3" bestFit="1" customWidth="1"/>
    <col min="2" max="16384" width="11.42578125" style="3"/>
  </cols>
  <sheetData>
    <row r="1" spans="1:14" x14ac:dyDescent="0.2">
      <c r="A1" s="1" t="s">
        <v>0</v>
      </c>
      <c r="B1" s="2">
        <v>43070</v>
      </c>
      <c r="C1" s="2">
        <v>43101</v>
      </c>
      <c r="D1" s="2">
        <v>43132</v>
      </c>
      <c r="E1" s="2">
        <v>43160</v>
      </c>
      <c r="F1" s="2">
        <v>43191</v>
      </c>
      <c r="G1" s="2">
        <v>43221</v>
      </c>
      <c r="H1" s="2">
        <v>43252</v>
      </c>
      <c r="I1" s="2">
        <v>43282</v>
      </c>
      <c r="J1" s="2">
        <v>43313</v>
      </c>
      <c r="K1" s="2">
        <v>43344</v>
      </c>
      <c r="L1" s="2">
        <v>43374</v>
      </c>
      <c r="M1" s="2">
        <v>43405</v>
      </c>
      <c r="N1" s="2">
        <v>43435</v>
      </c>
    </row>
    <row r="2" spans="1:14" x14ac:dyDescent="0.2">
      <c r="A2" s="3" t="s">
        <v>1</v>
      </c>
      <c r="B2" s="46">
        <f>'Paso 3.1'!$N$2/'Paso 3.1'!B2</f>
        <v>1.4764559006888065</v>
      </c>
      <c r="C2" s="32">
        <f>'Paso 3.1'!$N$2/'Paso 3.1'!C2</f>
        <v>1.4509574473949258</v>
      </c>
      <c r="D2" s="32">
        <f>'Paso 3.1'!$N$2/'Paso 3.1'!D2</f>
        <v>1.4166872980748975</v>
      </c>
      <c r="E2" s="32">
        <f>'Paso 3.1'!$N$2/'Paso 3.1'!E2</f>
        <v>1.3842804273906242</v>
      </c>
      <c r="F2" s="32">
        <f>'Paso 3.1'!$N$2/'Paso 3.1'!F2</f>
        <v>1.3473753795213497</v>
      </c>
      <c r="G2" s="32">
        <f>'Paso 3.1'!$N$2/'Paso 3.1'!G2</f>
        <v>1.3199808294761848</v>
      </c>
      <c r="H2" s="32">
        <f>'Paso 3.1'!$N$2/'Paso 3.1'!H2</f>
        <v>1.272434089083756</v>
      </c>
      <c r="I2" s="32">
        <f>'Paso 3.1'!$N$2/'Paso 3.1'!I2</f>
        <v>1.2341553658958073</v>
      </c>
      <c r="J2" s="32">
        <f>'Paso 3.1'!$N$2/'Paso 3.1'!J2</f>
        <v>1.1879507476947637</v>
      </c>
      <c r="K2" s="32">
        <f>'Paso 3.1'!$N$2/'Paso 3.1'!K2</f>
        <v>1.1150877248192459</v>
      </c>
      <c r="L2" s="32">
        <f>'Paso 3.1'!$N$2/'Paso 3.1'!L2</f>
        <v>1.0580422435489956</v>
      </c>
      <c r="M2" s="32">
        <f>'Paso 3.1'!$N$2/'Paso 3.1'!M2</f>
        <v>1.0256982344571439</v>
      </c>
      <c r="N2" s="32">
        <f>'Paso 3.1'!$N$2/'Paso 3.1'!N2</f>
        <v>1</v>
      </c>
    </row>
    <row r="3" spans="1:14" x14ac:dyDescent="0.2">
      <c r="A3" s="3" t="s">
        <v>2</v>
      </c>
      <c r="B3" s="54">
        <f>'Paso 3.1'!$N$2/'Paso 3.1'!B3</f>
        <v>1.4764559006888065</v>
      </c>
      <c r="C3" s="34">
        <f>'Paso 3.1'!$N$2/'Paso 3.1'!C3</f>
        <v>1.4509574473949258</v>
      </c>
      <c r="D3" s="34">
        <f>'Paso 3.1'!$N$2/'Paso 3.1'!D3</f>
        <v>1.4166872980748975</v>
      </c>
      <c r="E3" s="34">
        <f>'Paso 3.1'!$N$2/'Paso 3.1'!E3</f>
        <v>1.3842804273906242</v>
      </c>
      <c r="F3" s="34">
        <f>'Paso 3.1'!$N$2/'Paso 3.1'!F3</f>
        <v>1.3473753795213497</v>
      </c>
      <c r="G3" s="34">
        <f>'Paso 3.1'!$N$2/'Paso 3.1'!G3</f>
        <v>1.3199808294761848</v>
      </c>
      <c r="H3" s="34">
        <f>'Paso 3.1'!$N$2/'Paso 3.1'!H3</f>
        <v>1.272434089083756</v>
      </c>
      <c r="I3" s="34">
        <f>'Paso 3.1'!$N$2/'Paso 3.1'!I3</f>
        <v>1.2341553658958073</v>
      </c>
      <c r="J3" s="34">
        <f>'Paso 3.1'!$N$2/'Paso 3.1'!J3</f>
        <v>1.1879507476947637</v>
      </c>
      <c r="K3" s="34">
        <f>'Paso 3.1'!$N$2/'Paso 3.1'!K3</f>
        <v>1.1150877248192459</v>
      </c>
      <c r="L3" s="34">
        <f>'Paso 3.1'!$N$2/'Paso 3.1'!L3</f>
        <v>1.0580422435489956</v>
      </c>
      <c r="M3" s="34">
        <f>'Paso 3.1'!$N$2/'Paso 3.1'!M3</f>
        <v>1.0256982344571439</v>
      </c>
      <c r="N3" s="34">
        <f>'Paso 3.1'!$N$2/'Paso 3.1'!N3</f>
        <v>1</v>
      </c>
    </row>
    <row r="4" spans="1:14" x14ac:dyDescent="0.2">
      <c r="A4" s="3" t="s">
        <v>3</v>
      </c>
      <c r="B4" s="54">
        <f>'Paso 3.1'!$N$2/'Paso 3.1'!B4</f>
        <v>1.4764559006888065</v>
      </c>
      <c r="C4" s="34">
        <f>'Paso 3.1'!$N$2/'Paso 3.1'!C4</f>
        <v>1.4509574473949258</v>
      </c>
      <c r="D4" s="34">
        <f>'Paso 3.1'!$N$2/'Paso 3.1'!D4</f>
        <v>1.4166872980748975</v>
      </c>
      <c r="E4" s="34">
        <f>'Paso 3.1'!$N$2/'Paso 3.1'!E4</f>
        <v>1.3842804273906242</v>
      </c>
      <c r="F4" s="34">
        <f>'Paso 3.1'!$N$2/'Paso 3.1'!F4</f>
        <v>1.3473753795213497</v>
      </c>
      <c r="G4" s="34">
        <f>'Paso 3.1'!$N$2/'Paso 3.1'!G4</f>
        <v>1.3199808294761848</v>
      </c>
      <c r="H4" s="34">
        <f>'Paso 3.1'!$N$2/'Paso 3.1'!H4</f>
        <v>1.272434089083756</v>
      </c>
      <c r="I4" s="34">
        <f>'Paso 3.1'!$N$2/'Paso 3.1'!I4</f>
        <v>1.2341553658958073</v>
      </c>
      <c r="J4" s="34">
        <f>'Paso 3.1'!$N$2/'Paso 3.1'!J4</f>
        <v>1.1879507476947637</v>
      </c>
      <c r="K4" s="34">
        <f>'Paso 3.1'!$N$2/'Paso 3.1'!K4</f>
        <v>1.1150877248192459</v>
      </c>
      <c r="L4" s="34">
        <f>'Paso 3.1'!$N$2/'Paso 3.1'!L4</f>
        <v>1.0580422435489956</v>
      </c>
      <c r="M4" s="34">
        <f>'Paso 3.1'!$N$2/'Paso 3.1'!M4</f>
        <v>1.0256982344571439</v>
      </c>
      <c r="N4" s="34">
        <f>'Paso 3.1'!$N$2/'Paso 3.1'!N4</f>
        <v>1</v>
      </c>
    </row>
    <row r="5" spans="1:14" x14ac:dyDescent="0.2">
      <c r="A5" s="3" t="s">
        <v>4</v>
      </c>
      <c r="B5" s="54">
        <f>'Paso 3.1'!$N$2/'Paso 3.1'!B5</f>
        <v>1.4764559006888065</v>
      </c>
      <c r="C5" s="34">
        <f>'Paso 3.1'!$N$2/'Paso 3.1'!C5</f>
        <v>1.4509574473949258</v>
      </c>
      <c r="D5" s="34">
        <f>'Paso 3.1'!$N$2/'Paso 3.1'!D5</f>
        <v>1.4166872980748975</v>
      </c>
      <c r="E5" s="34">
        <f>'Paso 3.1'!$N$2/'Paso 3.1'!E5</f>
        <v>1.3842804273906242</v>
      </c>
      <c r="F5" s="34">
        <f>'Paso 3.1'!$N$2/'Paso 3.1'!F5</f>
        <v>1.3473753795213497</v>
      </c>
      <c r="G5" s="34">
        <f>'Paso 3.1'!$N$2/'Paso 3.1'!G5</f>
        <v>1.3199808294761848</v>
      </c>
      <c r="H5" s="34">
        <f>'Paso 3.1'!$N$2/'Paso 3.1'!H5</f>
        <v>1.272434089083756</v>
      </c>
      <c r="I5" s="34">
        <f>'Paso 3.1'!$N$2/'Paso 3.1'!I5</f>
        <v>1.2341553658958073</v>
      </c>
      <c r="J5" s="34">
        <f>'Paso 3.1'!$N$2/'Paso 3.1'!J5</f>
        <v>1.1879507476947637</v>
      </c>
      <c r="K5" s="34">
        <f>'Paso 3.1'!$N$2/'Paso 3.1'!K5</f>
        <v>1.1150877248192459</v>
      </c>
      <c r="L5" s="34">
        <f>'Paso 3.1'!$N$2/'Paso 3.1'!L5</f>
        <v>1.0580422435489956</v>
      </c>
      <c r="M5" s="34">
        <f>'Paso 3.1'!$N$2/'Paso 3.1'!M5</f>
        <v>1.0256982344571439</v>
      </c>
      <c r="N5" s="34">
        <f>'Paso 3.1'!$N$2/'Paso 3.1'!N5</f>
        <v>1</v>
      </c>
    </row>
    <row r="6" spans="1:14" x14ac:dyDescent="0.2">
      <c r="A6" s="3" t="s">
        <v>5</v>
      </c>
      <c r="B6" s="54">
        <f>'Paso 3.1'!$N$2/'Paso 3.1'!B6</f>
        <v>1.4764559006888065</v>
      </c>
      <c r="C6" s="34">
        <f>'Paso 3.1'!$N$2/'Paso 3.1'!C6</f>
        <v>1.4509574473949258</v>
      </c>
      <c r="D6" s="34">
        <f>'Paso 3.1'!$N$2/'Paso 3.1'!D6</f>
        <v>1.4166872980748975</v>
      </c>
      <c r="E6" s="34">
        <f>'Paso 3.1'!$N$2/'Paso 3.1'!E6</f>
        <v>1.3842804273906242</v>
      </c>
      <c r="F6" s="34">
        <f>'Paso 3.1'!$N$2/'Paso 3.1'!F6</f>
        <v>1.3473753795213497</v>
      </c>
      <c r="G6" s="34">
        <f>'Paso 3.1'!$N$2/'Paso 3.1'!G6</f>
        <v>1.3199808294761848</v>
      </c>
      <c r="H6" s="34">
        <f>'Paso 3.1'!$N$2/'Paso 3.1'!H6</f>
        <v>1.272434089083756</v>
      </c>
      <c r="I6" s="34">
        <f>'Paso 3.1'!$N$2/'Paso 3.1'!I6</f>
        <v>1.2341553658958073</v>
      </c>
      <c r="J6" s="34">
        <f>'Paso 3.1'!$N$2/'Paso 3.1'!J6</f>
        <v>1.1879507476947637</v>
      </c>
      <c r="K6" s="34">
        <f>'Paso 3.1'!$N$2/'Paso 3.1'!K6</f>
        <v>1.1150877248192459</v>
      </c>
      <c r="L6" s="34">
        <f>'Paso 3.1'!$N$2/'Paso 3.1'!L6</f>
        <v>1.0580422435489956</v>
      </c>
      <c r="M6" s="34">
        <f>'Paso 3.1'!$N$2/'Paso 3.1'!M6</f>
        <v>1.0256982344571439</v>
      </c>
      <c r="N6" s="34">
        <f>'Paso 3.1'!$N$2/'Paso 3.1'!N6</f>
        <v>1</v>
      </c>
    </row>
    <row r="7" spans="1:14" x14ac:dyDescent="0.2">
      <c r="A7" s="3" t="s">
        <v>6</v>
      </c>
      <c r="B7" s="54">
        <f>'Paso 3.1'!$N$2/'Paso 3.1'!B7</f>
        <v>1.4764559006888065</v>
      </c>
      <c r="C7" s="34">
        <f>'Paso 3.1'!$N$2/'Paso 3.1'!C7</f>
        <v>1.4509574473949258</v>
      </c>
      <c r="D7" s="34">
        <f>'Paso 3.1'!$N$2/'Paso 3.1'!D7</f>
        <v>1.4166872980748975</v>
      </c>
      <c r="E7" s="34">
        <f>'Paso 3.1'!$N$2/'Paso 3.1'!E7</f>
        <v>1.3842804273906242</v>
      </c>
      <c r="F7" s="34">
        <f>'Paso 3.1'!$N$2/'Paso 3.1'!F7</f>
        <v>1.3473753795213497</v>
      </c>
      <c r="G7" s="34">
        <f>'Paso 3.1'!$N$2/'Paso 3.1'!G7</f>
        <v>1.3199808294761848</v>
      </c>
      <c r="H7" s="34">
        <f>'Paso 3.1'!$N$2/'Paso 3.1'!H7</f>
        <v>1.272434089083756</v>
      </c>
      <c r="I7" s="34">
        <f>'Paso 3.1'!$N$2/'Paso 3.1'!I7</f>
        <v>1.2341553658958073</v>
      </c>
      <c r="J7" s="34">
        <f>'Paso 3.1'!$N$2/'Paso 3.1'!J7</f>
        <v>1.1879507476947637</v>
      </c>
      <c r="K7" s="34">
        <f>'Paso 3.1'!$N$2/'Paso 3.1'!K7</f>
        <v>1.1150877248192459</v>
      </c>
      <c r="L7" s="34">
        <f>'Paso 3.1'!$N$2/'Paso 3.1'!L7</f>
        <v>1.0580422435489956</v>
      </c>
      <c r="M7" s="34">
        <f>'Paso 3.1'!$N$2/'Paso 3.1'!M7</f>
        <v>1.0256982344571439</v>
      </c>
      <c r="N7" s="34">
        <f>'Paso 3.1'!$N$2/'Paso 3.1'!N7</f>
        <v>1</v>
      </c>
    </row>
    <row r="8" spans="1:14" x14ac:dyDescent="0.2">
      <c r="A8" s="3" t="s">
        <v>7</v>
      </c>
      <c r="B8" s="54">
        <f>'Paso 3.1'!$N$2/'Paso 3.1'!B8</f>
        <v>1.4764559006888065</v>
      </c>
      <c r="C8" s="34">
        <f>'Paso 3.1'!$N$2/'Paso 3.1'!C8</f>
        <v>1.4509574473949258</v>
      </c>
      <c r="D8" s="34">
        <f>'Paso 3.1'!$N$2/'Paso 3.1'!D8</f>
        <v>1.4166872980748975</v>
      </c>
      <c r="E8" s="34">
        <f>'Paso 3.1'!$N$2/'Paso 3.1'!E8</f>
        <v>1.3842804273906242</v>
      </c>
      <c r="F8" s="34">
        <f>'Paso 3.1'!$N$2/'Paso 3.1'!F8</f>
        <v>1.3473753795213497</v>
      </c>
      <c r="G8" s="34">
        <f>'Paso 3.1'!$N$2/'Paso 3.1'!G8</f>
        <v>1.3199808294761848</v>
      </c>
      <c r="H8" s="34">
        <f>'Paso 3.1'!$N$2/'Paso 3.1'!H8</f>
        <v>1.272434089083756</v>
      </c>
      <c r="I8" s="34">
        <f>'Paso 3.1'!$N$2/'Paso 3.1'!I8</f>
        <v>1.2341553658958073</v>
      </c>
      <c r="J8" s="34">
        <f>'Paso 3.1'!$N$2/'Paso 3.1'!J8</f>
        <v>1.1879507476947637</v>
      </c>
      <c r="K8" s="34">
        <f>'Paso 3.1'!$N$2/'Paso 3.1'!K8</f>
        <v>1.1150877248192459</v>
      </c>
      <c r="L8" s="34">
        <f>'Paso 3.1'!$N$2/'Paso 3.1'!L8</f>
        <v>1.0580422435489956</v>
      </c>
      <c r="M8" s="34">
        <f>'Paso 3.1'!$N$2/'Paso 3.1'!M8</f>
        <v>1.0256982344571439</v>
      </c>
      <c r="N8" s="34">
        <f>'Paso 3.1'!$N$2/'Paso 3.1'!N8</f>
        <v>1</v>
      </c>
    </row>
    <row r="9" spans="1:14" x14ac:dyDescent="0.2">
      <c r="A9" s="3" t="s">
        <v>8</v>
      </c>
      <c r="B9" s="54">
        <f>'Paso 3.1'!$N$2/'Paso 3.1'!B9</f>
        <v>1.4764559006888065</v>
      </c>
      <c r="C9" s="34">
        <f>'Paso 3.1'!$N$2/'Paso 3.1'!C9</f>
        <v>1.4509574473949258</v>
      </c>
      <c r="D9" s="34">
        <f>'Paso 3.1'!$N$2/'Paso 3.1'!D9</f>
        <v>1.4166872980748975</v>
      </c>
      <c r="E9" s="34">
        <f>'Paso 3.1'!$N$2/'Paso 3.1'!E9</f>
        <v>1.3842804273906242</v>
      </c>
      <c r="F9" s="34">
        <f>'Paso 3.1'!$N$2/'Paso 3.1'!F9</f>
        <v>1.3473753795213497</v>
      </c>
      <c r="G9" s="34">
        <f>'Paso 3.1'!$N$2/'Paso 3.1'!G9</f>
        <v>1.3199808294761848</v>
      </c>
      <c r="H9" s="34">
        <f>'Paso 3.1'!$N$2/'Paso 3.1'!H9</f>
        <v>1.272434089083756</v>
      </c>
      <c r="I9" s="34">
        <f>'Paso 3.1'!$N$2/'Paso 3.1'!I9</f>
        <v>1.2341553658958073</v>
      </c>
      <c r="J9" s="34">
        <f>'Paso 3.1'!$N$2/'Paso 3.1'!J9</f>
        <v>1.1879507476947637</v>
      </c>
      <c r="K9" s="34">
        <f>'Paso 3.1'!$N$2/'Paso 3.1'!K9</f>
        <v>1.1150877248192459</v>
      </c>
      <c r="L9" s="34">
        <f>'Paso 3.1'!$N$2/'Paso 3.1'!L9</f>
        <v>1.0580422435489956</v>
      </c>
      <c r="M9" s="34">
        <f>'Paso 3.1'!$N$2/'Paso 3.1'!M9</f>
        <v>1.0256982344571439</v>
      </c>
      <c r="N9" s="34">
        <f>'Paso 3.1'!$N$2/'Paso 3.1'!N9</f>
        <v>1</v>
      </c>
    </row>
    <row r="10" spans="1:14" x14ac:dyDescent="0.2">
      <c r="A10" s="3" t="s">
        <v>9</v>
      </c>
      <c r="B10" s="54">
        <f>'Paso 3.1'!$N$2/'Paso 3.1'!B10</f>
        <v>1.4764559006888065</v>
      </c>
      <c r="C10" s="34">
        <f>'Paso 3.1'!$N$2/'Paso 3.1'!C10</f>
        <v>1.4509574473949258</v>
      </c>
      <c r="D10" s="34">
        <f>'Paso 3.1'!$N$2/'Paso 3.1'!D10</f>
        <v>1.4166872980748975</v>
      </c>
      <c r="E10" s="34">
        <f>'Paso 3.1'!$N$2/'Paso 3.1'!E10</f>
        <v>1.3842804273906242</v>
      </c>
      <c r="F10" s="34">
        <f>'Paso 3.1'!$N$2/'Paso 3.1'!F10</f>
        <v>1.3473753795213497</v>
      </c>
      <c r="G10" s="34">
        <f>'Paso 3.1'!$N$2/'Paso 3.1'!G10</f>
        <v>1.3199808294761848</v>
      </c>
      <c r="H10" s="34">
        <f>'Paso 3.1'!$N$2/'Paso 3.1'!H10</f>
        <v>1.272434089083756</v>
      </c>
      <c r="I10" s="34">
        <f>'Paso 3.1'!$N$2/'Paso 3.1'!I10</f>
        <v>1.2341553658958073</v>
      </c>
      <c r="J10" s="34">
        <f>'Paso 3.1'!$N$2/'Paso 3.1'!J10</f>
        <v>1.1879507476947637</v>
      </c>
      <c r="K10" s="34">
        <f>'Paso 3.1'!$N$2/'Paso 3.1'!K10</f>
        <v>1.1150877248192459</v>
      </c>
      <c r="L10" s="34">
        <f>'Paso 3.1'!$N$2/'Paso 3.1'!L10</f>
        <v>1.0580422435489956</v>
      </c>
      <c r="M10" s="34">
        <f>'Paso 3.1'!$N$2/'Paso 3.1'!M10</f>
        <v>1.0256982344571439</v>
      </c>
      <c r="N10" s="34">
        <f>'Paso 3.1'!$N$2/'Paso 3.1'!N10</f>
        <v>1</v>
      </c>
    </row>
    <row r="11" spans="1:14" x14ac:dyDescent="0.2">
      <c r="A11" s="3" t="s">
        <v>10</v>
      </c>
      <c r="B11" s="54">
        <f>'Paso 3.1'!$N$2/'Paso 3.1'!B11</f>
        <v>1.4764559006888065</v>
      </c>
      <c r="C11" s="34">
        <f>'Paso 3.1'!$N$2/'Paso 3.1'!C11</f>
        <v>1.4509574473949258</v>
      </c>
      <c r="D11" s="34">
        <f>'Paso 3.1'!$N$2/'Paso 3.1'!D11</f>
        <v>1.4166872980748975</v>
      </c>
      <c r="E11" s="34">
        <f>'Paso 3.1'!$N$2/'Paso 3.1'!E11</f>
        <v>1.3842804273906242</v>
      </c>
      <c r="F11" s="34">
        <f>'Paso 3.1'!$N$2/'Paso 3.1'!F11</f>
        <v>1.3473753795213497</v>
      </c>
      <c r="G11" s="34">
        <f>'Paso 3.1'!$N$2/'Paso 3.1'!G11</f>
        <v>1.3199808294761848</v>
      </c>
      <c r="H11" s="34">
        <f>'Paso 3.1'!$N$2/'Paso 3.1'!H11</f>
        <v>1.272434089083756</v>
      </c>
      <c r="I11" s="34">
        <f>'Paso 3.1'!$N$2/'Paso 3.1'!I11</f>
        <v>1.2341553658958073</v>
      </c>
      <c r="J11" s="34">
        <f>'Paso 3.1'!$N$2/'Paso 3.1'!J11</f>
        <v>1.1879507476947637</v>
      </c>
      <c r="K11" s="34">
        <f>'Paso 3.1'!$N$2/'Paso 3.1'!K11</f>
        <v>1.1150877248192459</v>
      </c>
      <c r="L11" s="34">
        <f>'Paso 3.1'!$N$2/'Paso 3.1'!L11</f>
        <v>1.0580422435489956</v>
      </c>
      <c r="M11" s="34">
        <f>'Paso 3.1'!$N$2/'Paso 3.1'!M11</f>
        <v>1.0256982344571439</v>
      </c>
      <c r="N11" s="34">
        <f>'Paso 3.1'!$N$2/'Paso 3.1'!N11</f>
        <v>1</v>
      </c>
    </row>
    <row r="12" spans="1:14" ht="13.5" thickBot="1" x14ac:dyDescent="0.25">
      <c r="A12" s="5" t="s">
        <v>11</v>
      </c>
      <c r="B12" s="55">
        <f>'Paso 3.1'!$N$2/'Paso 3.1'!B12</f>
        <v>1.4764559006888065</v>
      </c>
      <c r="C12" s="56">
        <f>'Paso 3.1'!$N$2/'Paso 3.1'!C12</f>
        <v>1.4509574473949258</v>
      </c>
      <c r="D12" s="56">
        <f>'Paso 3.1'!$N$2/'Paso 3.1'!D12</f>
        <v>1.4166872980748975</v>
      </c>
      <c r="E12" s="56">
        <f>'Paso 3.1'!$N$2/'Paso 3.1'!E12</f>
        <v>1.3842804273906242</v>
      </c>
      <c r="F12" s="56">
        <f>'Paso 3.1'!$N$2/'Paso 3.1'!F12</f>
        <v>1.3473753795213497</v>
      </c>
      <c r="G12" s="56">
        <f>'Paso 3.1'!$N$2/'Paso 3.1'!G12</f>
        <v>1.3199808294761848</v>
      </c>
      <c r="H12" s="56">
        <f>'Paso 3.1'!$N$2/'Paso 3.1'!H12</f>
        <v>1.272434089083756</v>
      </c>
      <c r="I12" s="56">
        <f>'Paso 3.1'!$N$2/'Paso 3.1'!I12</f>
        <v>1.2341553658958073</v>
      </c>
      <c r="J12" s="56">
        <f>'Paso 3.1'!$N$2/'Paso 3.1'!J12</f>
        <v>1.1879507476947637</v>
      </c>
      <c r="K12" s="56">
        <f>'Paso 3.1'!$N$2/'Paso 3.1'!K12</f>
        <v>1.1150877248192459</v>
      </c>
      <c r="L12" s="56">
        <f>'Paso 3.1'!$N$2/'Paso 3.1'!L12</f>
        <v>1.0580422435489956</v>
      </c>
      <c r="M12" s="56">
        <f>'Paso 3.1'!$N$2/'Paso 3.1'!M12</f>
        <v>1.0256982344571439</v>
      </c>
      <c r="N12" s="56">
        <f>'Paso 3.1'!$N$2/'Paso 3.1'!N12</f>
        <v>1</v>
      </c>
    </row>
    <row r="13" spans="1:14" x14ac:dyDescent="0.2">
      <c r="A13" s="3" t="s">
        <v>12</v>
      </c>
      <c r="B13" s="54">
        <f>'Paso 3.1'!$N$2/'Paso 3.1'!B13</f>
        <v>1.4764559006888065</v>
      </c>
      <c r="C13" s="34">
        <f>'Paso 3.1'!$N$2/'Paso 3.1'!C13</f>
        <v>1.4509574473949258</v>
      </c>
      <c r="D13" s="34">
        <f>'Paso 3.1'!$N$2/'Paso 3.1'!D13</f>
        <v>1.4166872980748975</v>
      </c>
      <c r="E13" s="34">
        <f>'Paso 3.1'!$N$2/'Paso 3.1'!E13</f>
        <v>1.3842804273906242</v>
      </c>
      <c r="F13" s="34">
        <f>'Paso 3.1'!$N$2/'Paso 3.1'!F13</f>
        <v>1.3473753795213497</v>
      </c>
      <c r="G13" s="34">
        <f>'Paso 3.1'!$N$2/'Paso 3.1'!G13</f>
        <v>1.3199808294761848</v>
      </c>
      <c r="H13" s="34">
        <f>'Paso 3.1'!$N$2/'Paso 3.1'!H13</f>
        <v>1.272434089083756</v>
      </c>
      <c r="I13" s="34">
        <f>'Paso 3.1'!$N$2/'Paso 3.1'!I13</f>
        <v>1.2341553658958073</v>
      </c>
      <c r="J13" s="34">
        <f>'Paso 3.1'!$N$2/'Paso 3.1'!J13</f>
        <v>1.1879507476947637</v>
      </c>
      <c r="K13" s="34">
        <f>'Paso 3.1'!$N$2/'Paso 3.1'!K13</f>
        <v>1.1150877248192459</v>
      </c>
      <c r="L13" s="34">
        <f>'Paso 3.1'!$N$2/'Paso 3.1'!L13</f>
        <v>1.0580422435489956</v>
      </c>
      <c r="M13" s="34">
        <f>'Paso 3.1'!$N$2/'Paso 3.1'!M13</f>
        <v>1.0256982344571439</v>
      </c>
      <c r="N13" s="34">
        <f>'Paso 3.1'!$N$2/'Paso 3.1'!N13</f>
        <v>1</v>
      </c>
    </row>
    <row r="14" spans="1:14" x14ac:dyDescent="0.2">
      <c r="A14" s="3" t="s">
        <v>13</v>
      </c>
      <c r="B14" s="54">
        <f>'Paso 3.1'!$N$2/'Paso 3.1'!B14</f>
        <v>1.4764559006888065</v>
      </c>
      <c r="C14" s="34">
        <f>'Paso 3.1'!$N$2/'Paso 3.1'!C14</f>
        <v>1.4509574473949258</v>
      </c>
      <c r="D14" s="34">
        <f>'Paso 3.1'!$N$2/'Paso 3.1'!D14</f>
        <v>1.4166872980748975</v>
      </c>
      <c r="E14" s="34">
        <f>'Paso 3.1'!$N$2/'Paso 3.1'!E14</f>
        <v>1.3842804273906242</v>
      </c>
      <c r="F14" s="34">
        <f>'Paso 3.1'!$N$2/'Paso 3.1'!F14</f>
        <v>1.3473753795213497</v>
      </c>
      <c r="G14" s="34">
        <f>'Paso 3.1'!$N$2/'Paso 3.1'!G14</f>
        <v>1.3199808294761848</v>
      </c>
      <c r="H14" s="34">
        <f>'Paso 3.1'!$N$2/'Paso 3.1'!H14</f>
        <v>1.272434089083756</v>
      </c>
      <c r="I14" s="34">
        <f>'Paso 3.1'!$N$2/'Paso 3.1'!I14</f>
        <v>1.2341553658958073</v>
      </c>
      <c r="J14" s="34">
        <f>'Paso 3.1'!$N$2/'Paso 3.1'!J14</f>
        <v>1.1879507476947637</v>
      </c>
      <c r="K14" s="34">
        <f>'Paso 3.1'!$N$2/'Paso 3.1'!K14</f>
        <v>1.1150877248192459</v>
      </c>
      <c r="L14" s="34">
        <f>'Paso 3.1'!$N$2/'Paso 3.1'!L14</f>
        <v>1.0580422435489956</v>
      </c>
      <c r="M14" s="34">
        <f>'Paso 3.1'!$N$2/'Paso 3.1'!M14</f>
        <v>1.0256982344571439</v>
      </c>
      <c r="N14" s="34">
        <f>'Paso 3.1'!$N$2/'Paso 3.1'!N14</f>
        <v>1</v>
      </c>
    </row>
    <row r="15" spans="1:14" x14ac:dyDescent="0.2">
      <c r="A15" s="3" t="s">
        <v>14</v>
      </c>
      <c r="B15" s="54">
        <f>'Paso 3.1'!$N$2/'Paso 3.1'!B15</f>
        <v>1.4764559006888065</v>
      </c>
      <c r="C15" s="34">
        <f>'Paso 3.1'!$N$2/'Paso 3.1'!C15</f>
        <v>1.4509574473949258</v>
      </c>
      <c r="D15" s="34">
        <f>'Paso 3.1'!$N$2/'Paso 3.1'!D15</f>
        <v>1.4166872980748975</v>
      </c>
      <c r="E15" s="34">
        <f>'Paso 3.1'!$N$2/'Paso 3.1'!E15</f>
        <v>1.3842804273906242</v>
      </c>
      <c r="F15" s="34">
        <f>'Paso 3.1'!$N$2/'Paso 3.1'!F15</f>
        <v>1.3473753795213497</v>
      </c>
      <c r="G15" s="34">
        <f>'Paso 3.1'!$N$2/'Paso 3.1'!G15</f>
        <v>1.3199808294761848</v>
      </c>
      <c r="H15" s="34">
        <f>'Paso 3.1'!$N$2/'Paso 3.1'!H15</f>
        <v>1.272434089083756</v>
      </c>
      <c r="I15" s="34">
        <f>'Paso 3.1'!$N$2/'Paso 3.1'!I15</f>
        <v>1.2341553658958073</v>
      </c>
      <c r="J15" s="34">
        <f>'Paso 3.1'!$N$2/'Paso 3.1'!J15</f>
        <v>1.1879507476947637</v>
      </c>
      <c r="K15" s="34">
        <f>'Paso 3.1'!$N$2/'Paso 3.1'!K15</f>
        <v>1.1150877248192459</v>
      </c>
      <c r="L15" s="34">
        <f>'Paso 3.1'!$N$2/'Paso 3.1'!L15</f>
        <v>1.0580422435489956</v>
      </c>
      <c r="M15" s="34">
        <f>'Paso 3.1'!$N$2/'Paso 3.1'!M15</f>
        <v>1.0256982344571439</v>
      </c>
      <c r="N15" s="34">
        <f>'Paso 3.1'!$N$2/'Paso 3.1'!N15</f>
        <v>1</v>
      </c>
    </row>
    <row r="16" spans="1:14" ht="13.5" thickBot="1" x14ac:dyDescent="0.25">
      <c r="A16" s="7" t="s">
        <v>15</v>
      </c>
      <c r="B16" s="57">
        <f>'Paso 3.1'!$N$2/'Paso 3.1'!B16</f>
        <v>1.4764559006888065</v>
      </c>
      <c r="C16" s="58">
        <f>'Paso 3.1'!$N$2/'Paso 3.1'!C16</f>
        <v>1.4509574473949258</v>
      </c>
      <c r="D16" s="58">
        <f>'Paso 3.1'!$N$2/'Paso 3.1'!D16</f>
        <v>1.4166872980748975</v>
      </c>
      <c r="E16" s="58">
        <f>'Paso 3.1'!$N$2/'Paso 3.1'!E16</f>
        <v>1.3842804273906242</v>
      </c>
      <c r="F16" s="58">
        <f>'Paso 3.1'!$N$2/'Paso 3.1'!F16</f>
        <v>1.3473753795213497</v>
      </c>
      <c r="G16" s="58">
        <f>'Paso 3.1'!$N$2/'Paso 3.1'!G16</f>
        <v>1.3199808294761848</v>
      </c>
      <c r="H16" s="58">
        <f>'Paso 3.1'!$N$2/'Paso 3.1'!H16</f>
        <v>1.272434089083756</v>
      </c>
      <c r="I16" s="58">
        <f>'Paso 3.1'!$N$2/'Paso 3.1'!I16</f>
        <v>1.2341553658958073</v>
      </c>
      <c r="J16" s="58">
        <f>'Paso 3.1'!$N$2/'Paso 3.1'!J16</f>
        <v>1.1879507476947637</v>
      </c>
      <c r="K16" s="58">
        <f>'Paso 3.1'!$N$2/'Paso 3.1'!K16</f>
        <v>1.1150877248192459</v>
      </c>
      <c r="L16" s="58">
        <f>'Paso 3.1'!$N$2/'Paso 3.1'!L16</f>
        <v>1.0580422435489956</v>
      </c>
      <c r="M16" s="58">
        <f>'Paso 3.1'!$N$2/'Paso 3.1'!M16</f>
        <v>1.0256982344571439</v>
      </c>
      <c r="N16" s="58">
        <f>'Paso 3.1'!$N$2/'Paso 3.1'!N16</f>
        <v>1</v>
      </c>
    </row>
    <row r="17" spans="1:17" x14ac:dyDescent="0.2">
      <c r="A17" s="3" t="s">
        <v>16</v>
      </c>
      <c r="B17" s="54">
        <f>'Paso 3.1'!$N$2/'Paso 3.1'!B17</f>
        <v>1.4764559006888065</v>
      </c>
      <c r="C17" s="34">
        <f>'Paso 3.1'!$N$2/'Paso 3.1'!C17</f>
        <v>1.4509574473949258</v>
      </c>
      <c r="D17" s="34">
        <f>'Paso 3.1'!$N$2/'Paso 3.1'!D17</f>
        <v>1.4166872980748975</v>
      </c>
      <c r="E17" s="34">
        <f>'Paso 3.1'!$N$2/'Paso 3.1'!E17</f>
        <v>1.3842804273906242</v>
      </c>
      <c r="F17" s="34">
        <f>'Paso 3.1'!$N$2/'Paso 3.1'!F17</f>
        <v>1.3473753795213497</v>
      </c>
      <c r="G17" s="34">
        <f>'Paso 3.1'!$N$2/'Paso 3.1'!G17</f>
        <v>1.3199808294761848</v>
      </c>
      <c r="H17" s="34">
        <f>'Paso 3.1'!$N$2/'Paso 3.1'!H17</f>
        <v>1.272434089083756</v>
      </c>
      <c r="I17" s="34">
        <f>'Paso 3.1'!$N$2/'Paso 3.1'!I17</f>
        <v>1.2341553658958073</v>
      </c>
      <c r="J17" s="34">
        <f>'Paso 3.1'!$N$2/'Paso 3.1'!J17</f>
        <v>1.1879507476947637</v>
      </c>
      <c r="K17" s="34">
        <f>'Paso 3.1'!$N$2/'Paso 3.1'!K17</f>
        <v>1.1150877248192459</v>
      </c>
      <c r="L17" s="34">
        <f>'Paso 3.1'!$N$2/'Paso 3.1'!L17</f>
        <v>1.0580422435489956</v>
      </c>
      <c r="M17" s="34">
        <f>'Paso 3.1'!$N$2/'Paso 3.1'!M17</f>
        <v>1.0256982344571439</v>
      </c>
      <c r="N17" s="34">
        <f>'Paso 3.1'!$N$2/'Paso 3.1'!N17</f>
        <v>1</v>
      </c>
    </row>
    <row r="18" spans="1:17" x14ac:dyDescent="0.2">
      <c r="A18" s="3" t="s">
        <v>17</v>
      </c>
      <c r="B18" s="54">
        <f>'Paso 3.1'!$N$2/'Paso 3.1'!B18</f>
        <v>1.4764559006888065</v>
      </c>
      <c r="C18" s="34">
        <f>'Paso 3.1'!$N$2/'Paso 3.1'!C18</f>
        <v>1.4509574473949258</v>
      </c>
      <c r="D18" s="34">
        <f>'Paso 3.1'!$N$2/'Paso 3.1'!D18</f>
        <v>1.4166872980748975</v>
      </c>
      <c r="E18" s="34">
        <f>'Paso 3.1'!$N$2/'Paso 3.1'!E18</f>
        <v>1.3842804273906242</v>
      </c>
      <c r="F18" s="34">
        <f>'Paso 3.1'!$N$2/'Paso 3.1'!F18</f>
        <v>1.3473753795213497</v>
      </c>
      <c r="G18" s="34">
        <f>'Paso 3.1'!$N$2/'Paso 3.1'!G18</f>
        <v>1.3199808294761848</v>
      </c>
      <c r="H18" s="34">
        <f>'Paso 3.1'!$N$2/'Paso 3.1'!H18</f>
        <v>1.272434089083756</v>
      </c>
      <c r="I18" s="34">
        <f>'Paso 3.1'!$N$2/'Paso 3.1'!I18</f>
        <v>1.2341553658958073</v>
      </c>
      <c r="J18" s="34">
        <f>'Paso 3.1'!$N$2/'Paso 3.1'!J18</f>
        <v>1.1879507476947637</v>
      </c>
      <c r="K18" s="34">
        <f>'Paso 3.1'!$N$2/'Paso 3.1'!K18</f>
        <v>1.1150877248192459</v>
      </c>
      <c r="L18" s="34">
        <f>'Paso 3.1'!$N$2/'Paso 3.1'!L18</f>
        <v>1.0580422435489956</v>
      </c>
      <c r="M18" s="34">
        <f>'Paso 3.1'!$N$2/'Paso 3.1'!M18</f>
        <v>1.0256982344571439</v>
      </c>
      <c r="N18" s="34">
        <f>'Paso 3.1'!$N$2/'Paso 3.1'!N18</f>
        <v>1</v>
      </c>
    </row>
    <row r="19" spans="1:17" x14ac:dyDescent="0.2">
      <c r="A19" s="3" t="s">
        <v>18</v>
      </c>
      <c r="B19" s="54">
        <f>'Paso 3.1'!$N$2/'Paso 3.1'!B19</f>
        <v>1.4764559006888065</v>
      </c>
      <c r="C19" s="34">
        <f>'Paso 3.1'!$N$2/'Paso 3.1'!C19</f>
        <v>1.4509574473949258</v>
      </c>
      <c r="D19" s="34">
        <f>'Paso 3.1'!$N$2/'Paso 3.1'!D19</f>
        <v>1.4166872980748975</v>
      </c>
      <c r="E19" s="34">
        <f>'Paso 3.1'!$N$2/'Paso 3.1'!E19</f>
        <v>1.3842804273906242</v>
      </c>
      <c r="F19" s="34">
        <f>'Paso 3.1'!$N$2/'Paso 3.1'!F19</f>
        <v>1.3473753795213497</v>
      </c>
      <c r="G19" s="34">
        <f>'Paso 3.1'!$N$2/'Paso 3.1'!G19</f>
        <v>1.3199808294761848</v>
      </c>
      <c r="H19" s="34">
        <f>'Paso 3.1'!$N$2/'Paso 3.1'!H19</f>
        <v>1.272434089083756</v>
      </c>
      <c r="I19" s="34">
        <f>'Paso 3.1'!$N$2/'Paso 3.1'!I19</f>
        <v>1.2341553658958073</v>
      </c>
      <c r="J19" s="34">
        <f>'Paso 3.1'!$N$2/'Paso 3.1'!J19</f>
        <v>1.1879507476947637</v>
      </c>
      <c r="K19" s="34">
        <f>'Paso 3.1'!$N$2/'Paso 3.1'!K19</f>
        <v>1.1150877248192459</v>
      </c>
      <c r="L19" s="34">
        <f>'Paso 3.1'!$N$2/'Paso 3.1'!L19</f>
        <v>1.0580422435489956</v>
      </c>
      <c r="M19" s="34">
        <f>'Paso 3.1'!$N$2/'Paso 3.1'!M19</f>
        <v>1.0256982344571439</v>
      </c>
      <c r="N19" s="34">
        <f>'Paso 3.1'!$N$2/'Paso 3.1'!N19</f>
        <v>1</v>
      </c>
    </row>
    <row r="20" spans="1:17" x14ac:dyDescent="0.2">
      <c r="A20" s="3" t="s">
        <v>19</v>
      </c>
      <c r="B20" s="54">
        <f>'Paso 3.1'!$N$2/'Paso 3.1'!B20</f>
        <v>1.4764559006888065</v>
      </c>
      <c r="C20" s="34">
        <f>'Paso 3.1'!$N$2/'Paso 3.1'!C20</f>
        <v>1.4509574473949258</v>
      </c>
      <c r="D20" s="34">
        <f>'Paso 3.1'!$N$2/'Paso 3.1'!D20</f>
        <v>1.4166872980748975</v>
      </c>
      <c r="E20" s="34">
        <f>'Paso 3.1'!$N$2/'Paso 3.1'!E20</f>
        <v>1.3842804273906242</v>
      </c>
      <c r="F20" s="34">
        <f>'Paso 3.1'!$N$2/'Paso 3.1'!F20</f>
        <v>1.3473753795213497</v>
      </c>
      <c r="G20" s="34">
        <f>'Paso 3.1'!$N$2/'Paso 3.1'!G20</f>
        <v>1.3199808294761848</v>
      </c>
      <c r="H20" s="34">
        <f>'Paso 3.1'!$N$2/'Paso 3.1'!H20</f>
        <v>1.272434089083756</v>
      </c>
      <c r="I20" s="34">
        <f>'Paso 3.1'!$N$2/'Paso 3.1'!I20</f>
        <v>1.2341553658958073</v>
      </c>
      <c r="J20" s="34">
        <f>'Paso 3.1'!$N$2/'Paso 3.1'!J20</f>
        <v>1.1879507476947637</v>
      </c>
      <c r="K20" s="34">
        <f>'Paso 3.1'!$N$2/'Paso 3.1'!K20</f>
        <v>1.1150877248192459</v>
      </c>
      <c r="L20" s="34">
        <f>'Paso 3.1'!$N$2/'Paso 3.1'!L20</f>
        <v>1.0580422435489956</v>
      </c>
      <c r="M20" s="34">
        <f>'Paso 3.1'!$N$2/'Paso 3.1'!M20</f>
        <v>1.0256982344571439</v>
      </c>
      <c r="N20" s="34">
        <f>'Paso 3.1'!$N$2/'Paso 3.1'!N20</f>
        <v>1</v>
      </c>
    </row>
    <row r="21" spans="1:17" x14ac:dyDescent="0.2">
      <c r="A21" s="3" t="s">
        <v>20</v>
      </c>
      <c r="B21" s="54">
        <f>'Paso 3.1'!$N$2/'Paso 3.1'!B21</f>
        <v>1.4764559006888065</v>
      </c>
      <c r="C21" s="34">
        <f>'Paso 3.1'!$N$2/'Paso 3.1'!C21</f>
        <v>1.4509574473949258</v>
      </c>
      <c r="D21" s="34">
        <f>'Paso 3.1'!$N$2/'Paso 3.1'!D21</f>
        <v>1.4166872980748975</v>
      </c>
      <c r="E21" s="34">
        <f>'Paso 3.1'!$N$2/'Paso 3.1'!E21</f>
        <v>1.3842804273906242</v>
      </c>
      <c r="F21" s="34">
        <f>'Paso 3.1'!$N$2/'Paso 3.1'!F21</f>
        <v>1.3473753795213497</v>
      </c>
      <c r="G21" s="34">
        <f>'Paso 3.1'!$N$2/'Paso 3.1'!G21</f>
        <v>1.3199808294761848</v>
      </c>
      <c r="H21" s="34">
        <f>'Paso 3.1'!$N$2/'Paso 3.1'!H21</f>
        <v>1.272434089083756</v>
      </c>
      <c r="I21" s="34">
        <f>'Paso 3.1'!$N$2/'Paso 3.1'!I21</f>
        <v>1.2341553658958073</v>
      </c>
      <c r="J21" s="34">
        <f>'Paso 3.1'!$N$2/'Paso 3.1'!J21</f>
        <v>1.1879507476947637</v>
      </c>
      <c r="K21" s="34">
        <f>'Paso 3.1'!$N$2/'Paso 3.1'!K21</f>
        <v>1.1150877248192459</v>
      </c>
      <c r="L21" s="34">
        <f>'Paso 3.1'!$N$2/'Paso 3.1'!L21</f>
        <v>1.0580422435489956</v>
      </c>
      <c r="M21" s="34">
        <f>'Paso 3.1'!$N$2/'Paso 3.1'!M21</f>
        <v>1.0256982344571439</v>
      </c>
      <c r="N21" s="34">
        <f>'Paso 3.1'!$N$2/'Paso 3.1'!N21</f>
        <v>1</v>
      </c>
    </row>
    <row r="22" spans="1:17" x14ac:dyDescent="0.2">
      <c r="A22" s="3" t="s">
        <v>21</v>
      </c>
      <c r="B22" s="54">
        <f>'Paso 3.1'!$N$2/'Paso 3.1'!B22</f>
        <v>1.4764559006888065</v>
      </c>
      <c r="C22" s="34">
        <f>'Paso 3.1'!$N$2/'Paso 3.1'!C22</f>
        <v>1.4509574473949258</v>
      </c>
      <c r="D22" s="34">
        <f>'Paso 3.1'!$N$2/'Paso 3.1'!D22</f>
        <v>1.4166872980748975</v>
      </c>
      <c r="E22" s="34">
        <f>'Paso 3.1'!$N$2/'Paso 3.1'!E22</f>
        <v>1.3842804273906242</v>
      </c>
      <c r="F22" s="34">
        <f>'Paso 3.1'!$N$2/'Paso 3.1'!F22</f>
        <v>1.3473753795213497</v>
      </c>
      <c r="G22" s="34">
        <f>'Paso 3.1'!$N$2/'Paso 3.1'!G22</f>
        <v>1.3199808294761848</v>
      </c>
      <c r="H22" s="34">
        <f>'Paso 3.1'!$N$2/'Paso 3.1'!H22</f>
        <v>1.272434089083756</v>
      </c>
      <c r="I22" s="34">
        <f>'Paso 3.1'!$N$2/'Paso 3.1'!I22</f>
        <v>1.2341553658958073</v>
      </c>
      <c r="J22" s="34">
        <f>'Paso 3.1'!$N$2/'Paso 3.1'!J22</f>
        <v>1.1879507476947637</v>
      </c>
      <c r="K22" s="34">
        <f>'Paso 3.1'!$N$2/'Paso 3.1'!K22</f>
        <v>1.1150877248192459</v>
      </c>
      <c r="L22" s="34">
        <f>'Paso 3.1'!$N$2/'Paso 3.1'!L22</f>
        <v>1.0580422435489956</v>
      </c>
      <c r="M22" s="34">
        <f>'Paso 3.1'!$N$2/'Paso 3.1'!M22</f>
        <v>1.0256982344571439</v>
      </c>
      <c r="N22" s="34">
        <f>'Paso 3.1'!$N$2/'Paso 3.1'!N22</f>
        <v>1</v>
      </c>
    </row>
    <row r="23" spans="1:17" x14ac:dyDescent="0.2">
      <c r="A23" s="3" t="s">
        <v>22</v>
      </c>
      <c r="B23" s="54">
        <f>'Paso 3.1'!$N$2/'Paso 3.1'!B23</f>
        <v>1.4764559006888065</v>
      </c>
      <c r="C23" s="34">
        <f>'Paso 3.1'!$N$2/'Paso 3.1'!C23</f>
        <v>1.4509574473949258</v>
      </c>
      <c r="D23" s="34">
        <f>'Paso 3.1'!$N$2/'Paso 3.1'!D23</f>
        <v>1.4166872980748975</v>
      </c>
      <c r="E23" s="34">
        <f>'Paso 3.1'!$N$2/'Paso 3.1'!E23</f>
        <v>1.3842804273906242</v>
      </c>
      <c r="F23" s="34">
        <f>'Paso 3.1'!$N$2/'Paso 3.1'!F23</f>
        <v>1.3473753795213497</v>
      </c>
      <c r="G23" s="34">
        <f>'Paso 3.1'!$N$2/'Paso 3.1'!G23</f>
        <v>1.3199808294761848</v>
      </c>
      <c r="H23" s="34">
        <f>'Paso 3.1'!$N$2/'Paso 3.1'!H23</f>
        <v>1.272434089083756</v>
      </c>
      <c r="I23" s="34">
        <f>'Paso 3.1'!$N$2/'Paso 3.1'!I23</f>
        <v>1.2341553658958073</v>
      </c>
      <c r="J23" s="34">
        <f>'Paso 3.1'!$N$2/'Paso 3.1'!J23</f>
        <v>1.1879507476947637</v>
      </c>
      <c r="K23" s="34">
        <f>'Paso 3.1'!$N$2/'Paso 3.1'!K23</f>
        <v>1.1150877248192459</v>
      </c>
      <c r="L23" s="34">
        <f>'Paso 3.1'!$N$2/'Paso 3.1'!L23</f>
        <v>1.0580422435489956</v>
      </c>
      <c r="M23" s="34">
        <f>'Paso 3.1'!$N$2/'Paso 3.1'!M23</f>
        <v>1.0256982344571439</v>
      </c>
      <c r="N23" s="34">
        <f>'Paso 3.1'!$N$2/'Paso 3.1'!N23</f>
        <v>1</v>
      </c>
      <c r="O23" s="4"/>
      <c r="P23" s="4"/>
      <c r="Q23" s="4"/>
    </row>
    <row r="24" spans="1:17" x14ac:dyDescent="0.2">
      <c r="A24" s="3" t="s">
        <v>23</v>
      </c>
      <c r="B24" s="54">
        <f>'Paso 3.1'!$N$2/'Paso 3.1'!B24</f>
        <v>1.4764559006888065</v>
      </c>
      <c r="C24" s="34">
        <f>'Paso 3.1'!$N$2/'Paso 3.1'!C24</f>
        <v>1.4509574473949258</v>
      </c>
      <c r="D24" s="34">
        <f>'Paso 3.1'!$N$2/'Paso 3.1'!D24</f>
        <v>1.4166872980748975</v>
      </c>
      <c r="E24" s="34">
        <f>'Paso 3.1'!$N$2/'Paso 3.1'!E24</f>
        <v>1.3842804273906242</v>
      </c>
      <c r="F24" s="34">
        <f>'Paso 3.1'!$N$2/'Paso 3.1'!F24</f>
        <v>1.3473753795213497</v>
      </c>
      <c r="G24" s="34">
        <f>'Paso 3.1'!$N$2/'Paso 3.1'!G24</f>
        <v>1.3199808294761848</v>
      </c>
      <c r="H24" s="34">
        <f>'Paso 3.1'!$N$2/'Paso 3.1'!H24</f>
        <v>1.272434089083756</v>
      </c>
      <c r="I24" s="34">
        <f>'Paso 3.1'!$N$2/'Paso 3.1'!I24</f>
        <v>1.2341553658958073</v>
      </c>
      <c r="J24" s="34">
        <f>'Paso 3.1'!$N$2/'Paso 3.1'!J24</f>
        <v>1.1879507476947637</v>
      </c>
      <c r="K24" s="34">
        <f>'Paso 3.1'!$N$2/'Paso 3.1'!K24</f>
        <v>1.1150877248192459</v>
      </c>
      <c r="L24" s="34">
        <f>'Paso 3.1'!$N$2/'Paso 3.1'!L24</f>
        <v>1.0580422435489956</v>
      </c>
      <c r="M24" s="34">
        <f>'Paso 3.1'!$N$2/'Paso 3.1'!M24</f>
        <v>1.0256982344571439</v>
      </c>
      <c r="N24" s="34">
        <f>'Paso 3.1'!$N$2/'Paso 3.1'!N24</f>
        <v>1</v>
      </c>
    </row>
    <row r="25" spans="1:17" x14ac:dyDescent="0.2">
      <c r="A25" s="3" t="s">
        <v>25</v>
      </c>
      <c r="B25" s="54">
        <f>'Paso 3.1'!$N$2/'Paso 3.1'!B25</f>
        <v>1.4764559006888065</v>
      </c>
      <c r="C25" s="34">
        <f>'Paso 3.1'!$N$2/'Paso 3.1'!C25</f>
        <v>1.4509574473949258</v>
      </c>
      <c r="D25" s="34">
        <f>'Paso 3.1'!$N$2/'Paso 3.1'!D25</f>
        <v>1.4166872980748975</v>
      </c>
      <c r="E25" s="34">
        <f>'Paso 3.1'!$N$2/'Paso 3.1'!E25</f>
        <v>1.3842804273906242</v>
      </c>
      <c r="F25" s="34">
        <f>'Paso 3.1'!$N$2/'Paso 3.1'!F25</f>
        <v>1.3473753795213497</v>
      </c>
      <c r="G25" s="34">
        <f>'Paso 3.1'!$N$2/'Paso 3.1'!G25</f>
        <v>1.3199808294761848</v>
      </c>
      <c r="H25" s="34">
        <f>'Paso 3.1'!$N$2/'Paso 3.1'!H25</f>
        <v>1.272434089083756</v>
      </c>
      <c r="I25" s="34">
        <f>'Paso 3.1'!$N$2/'Paso 3.1'!I25</f>
        <v>1.2341553658958073</v>
      </c>
      <c r="J25" s="34">
        <f>'Paso 3.1'!$N$2/'Paso 3.1'!J25</f>
        <v>1.1879507476947637</v>
      </c>
      <c r="K25" s="34">
        <f>'Paso 3.1'!$N$2/'Paso 3.1'!K25</f>
        <v>1.1150877248192459</v>
      </c>
      <c r="L25" s="34">
        <f>'Paso 3.1'!$N$2/'Paso 3.1'!L25</f>
        <v>1.0580422435489956</v>
      </c>
      <c r="M25" s="34">
        <f>'Paso 3.1'!$N$2/'Paso 3.1'!M25</f>
        <v>1.0256982344571439</v>
      </c>
      <c r="N25" s="34">
        <f>'Paso 3.1'!$N$2/'Paso 3.1'!N25</f>
        <v>1</v>
      </c>
    </row>
    <row r="26" spans="1:17" x14ac:dyDescent="0.2">
      <c r="A26" s="3" t="s">
        <v>26</v>
      </c>
      <c r="B26" s="54">
        <f>'Paso 3.1'!$N$2/'Paso 3.1'!B26</f>
        <v>1.4764559006888065</v>
      </c>
      <c r="C26" s="34">
        <f>'Paso 3.1'!$N$2/'Paso 3.1'!C26</f>
        <v>1.4509574473949258</v>
      </c>
      <c r="D26" s="34">
        <f>'Paso 3.1'!$N$2/'Paso 3.1'!D26</f>
        <v>1.4166872980748975</v>
      </c>
      <c r="E26" s="34">
        <f>'Paso 3.1'!$N$2/'Paso 3.1'!E26</f>
        <v>1.3842804273906242</v>
      </c>
      <c r="F26" s="34">
        <f>'Paso 3.1'!$N$2/'Paso 3.1'!F26</f>
        <v>1.3473753795213497</v>
      </c>
      <c r="G26" s="34">
        <f>'Paso 3.1'!$N$2/'Paso 3.1'!G26</f>
        <v>1.3199808294761848</v>
      </c>
      <c r="H26" s="34">
        <f>'Paso 3.1'!$N$2/'Paso 3.1'!H26</f>
        <v>1.272434089083756</v>
      </c>
      <c r="I26" s="34">
        <f>'Paso 3.1'!$N$2/'Paso 3.1'!I26</f>
        <v>1.2341553658958073</v>
      </c>
      <c r="J26" s="34">
        <f>'Paso 3.1'!$N$2/'Paso 3.1'!J26</f>
        <v>1.1879507476947637</v>
      </c>
      <c r="K26" s="34">
        <f>'Paso 3.1'!$N$2/'Paso 3.1'!K26</f>
        <v>1.1150877248192459</v>
      </c>
      <c r="L26" s="34">
        <f>'Paso 3.1'!$N$2/'Paso 3.1'!L26</f>
        <v>1.0580422435489956</v>
      </c>
      <c r="M26" s="34">
        <f>'Paso 3.1'!$N$2/'Paso 3.1'!M26</f>
        <v>1.0256982344571439</v>
      </c>
      <c r="N26" s="34">
        <f>'Paso 3.1'!$N$2/'Paso 3.1'!N26</f>
        <v>1</v>
      </c>
    </row>
    <row r="27" spans="1:17" x14ac:dyDescent="0.2">
      <c r="A27" s="9" t="s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9" spans="1:17" x14ac:dyDescent="0.2">
      <c r="B29" s="4"/>
      <c r="C29" s="4"/>
      <c r="D29" s="4"/>
      <c r="E29" s="4"/>
      <c r="F29" s="4"/>
    </row>
    <row r="30" spans="1:17" x14ac:dyDescent="0.2">
      <c r="B30" s="4"/>
      <c r="C30" s="4"/>
      <c r="D30" s="4"/>
      <c r="E30" s="4"/>
      <c r="F30" s="4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opLeftCell="F1" workbookViewId="0">
      <selection activeCell="T24" sqref="T24"/>
    </sheetView>
  </sheetViews>
  <sheetFormatPr baseColWidth="10" defaultRowHeight="12.75" x14ac:dyDescent="0.2"/>
  <cols>
    <col min="1" max="1" width="42.28515625" style="3" bestFit="1" customWidth="1"/>
    <col min="2" max="16384" width="11.42578125" style="3"/>
  </cols>
  <sheetData>
    <row r="1" spans="1:14" x14ac:dyDescent="0.2">
      <c r="A1" s="1" t="s">
        <v>0</v>
      </c>
      <c r="B1" s="2">
        <v>43070</v>
      </c>
      <c r="C1" s="2">
        <v>43101</v>
      </c>
      <c r="D1" s="2">
        <v>43132</v>
      </c>
      <c r="E1" s="2">
        <v>43160</v>
      </c>
      <c r="F1" s="2">
        <v>43191</v>
      </c>
      <c r="G1" s="2">
        <v>43221</v>
      </c>
      <c r="H1" s="2">
        <v>43252</v>
      </c>
      <c r="I1" s="2">
        <v>43282</v>
      </c>
      <c r="J1" s="2">
        <v>43313</v>
      </c>
      <c r="K1" s="2">
        <v>43344</v>
      </c>
      <c r="L1" s="2">
        <v>43374</v>
      </c>
      <c r="M1" s="2">
        <v>43405</v>
      </c>
      <c r="N1" s="2">
        <v>43435</v>
      </c>
    </row>
    <row r="2" spans="1:14" x14ac:dyDescent="0.2">
      <c r="A2" s="3" t="s">
        <v>1</v>
      </c>
      <c r="B2" s="43">
        <f>'Paso 2'!B2*'Paso 3.2'!B2</f>
        <v>2823.4266188872048</v>
      </c>
      <c r="C2" s="4">
        <f>'Paso 2'!C2*'Paso 3.2'!C2</f>
        <v>320.66159587427893</v>
      </c>
      <c r="D2" s="4">
        <f>'Paso 2'!D2*'Paso 3.2'!D2</f>
        <v>-374.00544669177327</v>
      </c>
      <c r="E2" s="4">
        <f>'Paso 2'!E2*'Paso 3.2'!E2</f>
        <v>-528.79512326321844</v>
      </c>
      <c r="F2" s="4">
        <f>'Paso 2'!F2*'Paso 3.2'!F2</f>
        <v>-667.6686348844562</v>
      </c>
      <c r="G2" s="4">
        <f>'Paso 2'!G2*'Paso 3.2'!G2</f>
        <v>-96.40183755353263</v>
      </c>
      <c r="H2" s="4">
        <f>'Paso 2'!H2*'Paso 3.2'!H2</f>
        <v>2.5031886069685814</v>
      </c>
      <c r="I2" s="4">
        <f>'Paso 2'!I2*'Paso 3.2'!I2</f>
        <v>131.39712074614391</v>
      </c>
      <c r="J2" s="4">
        <f>'Paso 2'!J2*'Paso 3.2'!J2</f>
        <v>17.780348961973651</v>
      </c>
      <c r="K2" s="4">
        <f>'Paso 2'!K2*'Paso 3.2'!K2</f>
        <v>-24.568455514315904</v>
      </c>
      <c r="L2" s="4">
        <f>'Paso 2'!L2*'Paso 3.2'!L2</f>
        <v>-386.22007589443774</v>
      </c>
      <c r="M2" s="4">
        <f>'Paso 2'!M2*'Paso 3.2'!M2</f>
        <v>133.30717293362432</v>
      </c>
      <c r="N2" s="4">
        <f>'Paso 2'!N2*'Paso 3.2'!N2</f>
        <v>-18.032755780087768</v>
      </c>
    </row>
    <row r="3" spans="1:14" x14ac:dyDescent="0.2">
      <c r="A3" s="3" t="s">
        <v>2</v>
      </c>
      <c r="B3" s="43">
        <f>'Paso 2'!B3*'Paso 3.2'!B3</f>
        <v>0</v>
      </c>
      <c r="C3" s="4">
        <f>'Paso 2'!C3*'Paso 3.2'!C3</f>
        <v>0</v>
      </c>
      <c r="D3" s="4">
        <f>'Paso 2'!D3*'Paso 3.2'!D3</f>
        <v>0</v>
      </c>
      <c r="E3" s="4">
        <f>'Paso 2'!E3*'Paso 3.2'!E3</f>
        <v>553.71217095624968</v>
      </c>
      <c r="F3" s="4">
        <f>'Paso 2'!F3*'Paso 3.2'!F3</f>
        <v>67.368768976067486</v>
      </c>
      <c r="G3" s="4">
        <f>'Paso 2'!G3*'Paso 3.2'!G3</f>
        <v>118.79827465285663</v>
      </c>
      <c r="H3" s="4">
        <f>'Paso 2'!H3*'Paso 3.2'!H3</f>
        <v>114.51906801753805</v>
      </c>
      <c r="I3" s="4">
        <f>'Paso 2'!I3*'Paso 3.2'!I3</f>
        <v>88.859186344498127</v>
      </c>
      <c r="J3" s="4">
        <f>'Paso 2'!J3*'Paso 3.2'!J3</f>
        <v>32.07467018775862</v>
      </c>
      <c r="K3" s="4">
        <f>'Paso 2'!K3*'Paso 3.2'!K3</f>
        <v>-90.322105710358912</v>
      </c>
      <c r="L3" s="4">
        <f>'Paso 2'!L3*'Paso 3.2'!L3</f>
        <v>366.08261626795246</v>
      </c>
      <c r="M3" s="4">
        <f>'Paso 2'!M3*'Paso 3.2'!M3</f>
        <v>43.079325847200046</v>
      </c>
      <c r="N3" s="4">
        <f>'Paso 2'!N3*'Paso 3.2'!N3</f>
        <v>28</v>
      </c>
    </row>
    <row r="4" spans="1:14" x14ac:dyDescent="0.2">
      <c r="A4" s="3" t="s">
        <v>3</v>
      </c>
      <c r="B4" s="43">
        <f>'Paso 2'!B4*'Paso 3.2'!B4</f>
        <v>349.92004846324716</v>
      </c>
      <c r="C4" s="4">
        <f>'Paso 2'!C4*'Paso 3.2'!C4</f>
        <v>-174.11489368739109</v>
      </c>
      <c r="D4" s="4">
        <f>'Paso 2'!D4*'Paso 3.2'!D4</f>
        <v>9.916811086524282</v>
      </c>
      <c r="E4" s="4">
        <f>'Paso 2'!E4*'Paso 3.2'!E4</f>
        <v>151.57870679927333</v>
      </c>
      <c r="F4" s="4">
        <f>'Paso 2'!F4*'Paso 3.2'!F4</f>
        <v>-125.9795979852462</v>
      </c>
      <c r="G4" s="4">
        <f>'Paso 2'!G4*'Paso 3.2'!G4</f>
        <v>13.199808294761848</v>
      </c>
      <c r="H4" s="4">
        <f>'Paso 2'!H4*'Paso 3.2'!H4</f>
        <v>145.69370320009006</v>
      </c>
      <c r="I4" s="4">
        <f>'Paso 2'!I4*'Paso 3.2'!I4</f>
        <v>-110.45690524767475</v>
      </c>
      <c r="J4" s="4">
        <f>'Paso 2'!J4*'Paso 3.2'!J4</f>
        <v>-52.269832898569604</v>
      </c>
      <c r="K4" s="4">
        <f>'Paso 2'!K4*'Paso 3.2'!K4</f>
        <v>21.186666771565672</v>
      </c>
      <c r="L4" s="4">
        <f>'Paso 2'!L4*'Paso 3.2'!L4</f>
        <v>158.70633653234933</v>
      </c>
      <c r="M4" s="4">
        <f>'Paso 2'!M4*'Paso 3.2'!M4</f>
        <v>-37.950834674914326</v>
      </c>
      <c r="N4" s="4">
        <f>'Paso 2'!N4*'Paso 3.2'!N4</f>
        <v>-6</v>
      </c>
    </row>
    <row r="5" spans="1:14" x14ac:dyDescent="0.2">
      <c r="A5" s="3" t="s">
        <v>4</v>
      </c>
      <c r="B5" s="43">
        <f>'Paso 2'!B5*'Paso 3.2'!B5</f>
        <v>243.61522361365309</v>
      </c>
      <c r="C5" s="4">
        <f>'Paso 2'!C5*'Paso 3.2'!C5</f>
        <v>0</v>
      </c>
      <c r="D5" s="4">
        <f>'Paso 2'!D5*'Paso 3.2'!D5</f>
        <v>0</v>
      </c>
      <c r="E5" s="4">
        <f>'Paso 2'!E5*'Paso 3.2'!E5</f>
        <v>0</v>
      </c>
      <c r="F5" s="4">
        <f>'Paso 2'!F5*'Paso 3.2'!F5</f>
        <v>0</v>
      </c>
      <c r="G5" s="4">
        <f>'Paso 2'!G5*'Paso 3.2'!G5</f>
        <v>0</v>
      </c>
      <c r="H5" s="4">
        <f>'Paso 2'!H5*'Paso 3.2'!H5</f>
        <v>0</v>
      </c>
      <c r="I5" s="4">
        <f>'Paso 2'!I5*'Paso 3.2'!I5</f>
        <v>0</v>
      </c>
      <c r="J5" s="4">
        <f>'Paso 2'!J5*'Paso 3.2'!J5</f>
        <v>0</v>
      </c>
      <c r="K5" s="4">
        <f>'Paso 2'!K5*'Paso 3.2'!K5</f>
        <v>0</v>
      </c>
      <c r="L5" s="4">
        <f>'Paso 2'!L5*'Paso 3.2'!L5</f>
        <v>0</v>
      </c>
      <c r="M5" s="4">
        <f>'Paso 2'!M5*'Paso 3.2'!M5</f>
        <v>0</v>
      </c>
      <c r="N5" s="4">
        <f>'Paso 2'!N5*'Paso 3.2'!N5</f>
        <v>0</v>
      </c>
    </row>
    <row r="6" spans="1:14" x14ac:dyDescent="0.2">
      <c r="A6" s="3" t="s">
        <v>5</v>
      </c>
      <c r="B6" s="43">
        <f>'Paso 2'!B6*'Paso 3.2'!B6</f>
        <v>0</v>
      </c>
      <c r="C6" s="4">
        <f>'Paso 2'!C6*'Paso 3.2'!C6</f>
        <v>127.68425537075348</v>
      </c>
      <c r="D6" s="4">
        <f>'Paso 2'!D6*'Paso 3.2'!D6</f>
        <v>133.16860601904037</v>
      </c>
      <c r="E6" s="4">
        <f>'Paso 2'!E6*'Paso 3.2'!E6</f>
        <v>137.0437623116718</v>
      </c>
      <c r="F6" s="4">
        <f>'Paso 2'!F6*'Paso 3.2'!F6</f>
        <v>142.82179022926306</v>
      </c>
      <c r="G6" s="4">
        <f>'Paso 2'!G6*'Paso 3.2'!G6</f>
        <v>150.47781456028505</v>
      </c>
      <c r="H6" s="4">
        <f>'Paso 2'!H6*'Paso 3.2'!H6</f>
        <v>155.23695886821824</v>
      </c>
      <c r="I6" s="4">
        <f>'Paso 2'!I6*'Paso 3.2'!I6</f>
        <v>139.45955634622624</v>
      </c>
      <c r="J6" s="4">
        <f>'Paso 2'!J6*'Paso 3.2'!J6</f>
        <v>117.6071240217816</v>
      </c>
      <c r="K6" s="4">
        <f>'Paso 2'!K6*'Paso 3.2'!K6</f>
        <v>127.12000062939403</v>
      </c>
      <c r="L6" s="4">
        <f>'Paso 2'!L6*'Paso 3.2'!L6</f>
        <v>240.17558928562198</v>
      </c>
      <c r="M6" s="4">
        <f>'Paso 2'!M6*'Paso 3.2'!M6</f>
        <v>204.11394865697164</v>
      </c>
      <c r="N6" s="4">
        <f>'Paso 2'!N6*'Paso 3.2'!N6</f>
        <v>215</v>
      </c>
    </row>
    <row r="7" spans="1:14" x14ac:dyDescent="0.2">
      <c r="A7" s="3" t="s">
        <v>6</v>
      </c>
      <c r="B7" s="43">
        <f>'Paso 2'!B7*'Paso 3.2'!B7</f>
        <v>3654.6673481077955</v>
      </c>
      <c r="C7" s="4">
        <f>'Paso 2'!C7*'Paso 3.2'!C7</f>
        <v>0</v>
      </c>
      <c r="D7" s="4">
        <f>'Paso 2'!D7*'Paso 3.2'!D7</f>
        <v>0</v>
      </c>
      <c r="E7" s="4">
        <f>'Paso 2'!E7*'Paso 3.2'!E7</f>
        <v>0</v>
      </c>
      <c r="F7" s="4">
        <f>'Paso 2'!F7*'Paso 3.2'!F7</f>
        <v>471.5813828324724</v>
      </c>
      <c r="G7" s="4">
        <f>'Paso 2'!G7*'Paso 3.2'!G7</f>
        <v>0</v>
      </c>
      <c r="H7" s="4">
        <f>'Paso 2'!H7*'Paso 3.2'!H7</f>
        <v>0</v>
      </c>
      <c r="I7" s="4">
        <f>'Paso 2'!I7*'Paso 3.2'!I7</f>
        <v>0</v>
      </c>
      <c r="J7" s="4">
        <f>'Paso 2'!J7*'Paso 3.2'!J7</f>
        <v>0</v>
      </c>
      <c r="K7" s="4">
        <f>'Paso 2'!K7*'Paso 3.2'!K7</f>
        <v>0</v>
      </c>
      <c r="L7" s="4">
        <f>'Paso 2'!L7*'Paso 3.2'!L7</f>
        <v>0</v>
      </c>
      <c r="M7" s="4">
        <f>'Paso 2'!M7*'Paso 3.2'!M7</f>
        <v>0</v>
      </c>
      <c r="N7" s="4">
        <f>'Paso 2'!N7*'Paso 3.2'!N7</f>
        <v>0</v>
      </c>
    </row>
    <row r="8" spans="1:14" x14ac:dyDescent="0.2">
      <c r="A8" s="3" t="s">
        <v>7</v>
      </c>
      <c r="B8" s="43">
        <f>'Paso 2'!B8*'Paso 3.2'!B8</f>
        <v>-1306.9730582157208</v>
      </c>
      <c r="C8" s="4">
        <f>'Paso 2'!C8*'Paso 3.2'!C8</f>
        <v>-11.583476955036138</v>
      </c>
      <c r="D8" s="4">
        <f>'Paso 2'!D8*'Paso 3.2'!D8</f>
        <v>-11.309886929631286</v>
      </c>
      <c r="E8" s="4">
        <f>'Paso 2'!E8*'Paso 3.2'!E8</f>
        <v>-11.051172078668465</v>
      </c>
      <c r="F8" s="4">
        <f>'Paso 2'!F8*'Paso 3.2'!F8</f>
        <v>-10.756546779845461</v>
      </c>
      <c r="G8" s="4">
        <f>'Paso 2'!G8*'Paso 3.2'!G8</f>
        <v>-10.537846955318228</v>
      </c>
      <c r="H8" s="4">
        <f>'Paso 2'!H8*'Paso 3.2'!H8</f>
        <v>-10.158265477851932</v>
      </c>
      <c r="I8" s="4">
        <f>'Paso 2'!I8*'Paso 3.2'!I8</f>
        <v>-9.8526736710682137</v>
      </c>
      <c r="J8" s="4">
        <f>'Paso 2'!J8*'Paso 3.2'!J8</f>
        <v>-9.4838068024298821</v>
      </c>
      <c r="K8" s="4">
        <f>'Paso 2'!K8*'Paso 3.2'!K8</f>
        <v>-8.9021170031402672</v>
      </c>
      <c r="L8" s="4">
        <f>'Paso 2'!L8*'Paso 3.2'!L8</f>
        <v>-8.4467039109994975</v>
      </c>
      <c r="M8" s="4">
        <f>'Paso 2'!M8*'Paso 3.2'!M8</f>
        <v>-8.1884909050828814</v>
      </c>
      <c r="N8" s="4">
        <f>'Paso 2'!N8*'Paso 3.2'!N8</f>
        <v>-7.9833333333333485</v>
      </c>
    </row>
    <row r="9" spans="1:14" x14ac:dyDescent="0.2">
      <c r="A9" s="3" t="s">
        <v>8</v>
      </c>
      <c r="B9" s="43">
        <f>'Paso 2'!B9*'Paso 3.2'!B9</f>
        <v>-537.42994785072551</v>
      </c>
      <c r="C9" s="4">
        <f>'Paso 2'!C9*'Paso 3.2'!C9</f>
        <v>-127.68425537075348</v>
      </c>
      <c r="D9" s="4">
        <f>'Paso 2'!D9*'Paso 3.2'!D9</f>
        <v>382.50557048022233</v>
      </c>
      <c r="E9" s="4">
        <f>'Paso 2'!E9*'Paso 3.2'!E9</f>
        <v>-15.227084701296866</v>
      </c>
      <c r="F9" s="4">
        <f>'Paso 2'!F9*'Paso 3.2'!F9</f>
        <v>-16.168504554256195</v>
      </c>
      <c r="G9" s="4">
        <f>'Paso 2'!G9*'Paso 3.2'!G9</f>
        <v>-19.79971244214277</v>
      </c>
      <c r="H9" s="4">
        <f>'Paso 2'!H9*'Paso 3.2'!H9</f>
        <v>-20.358945425340096</v>
      </c>
      <c r="I9" s="4">
        <f>'Paso 2'!I9*'Paso 3.2'!I9</f>
        <v>1.2341553658958073</v>
      </c>
      <c r="J9" s="4">
        <f>'Paso 2'!J9*'Paso 3.2'!J9</f>
        <v>27.322867196979566</v>
      </c>
      <c r="K9" s="4">
        <f>'Paso 2'!K9*'Paso 3.2'!K9</f>
        <v>-1.1150877248192459</v>
      </c>
      <c r="L9" s="4">
        <f>'Paso 2'!L9*'Paso 3.2'!L9</f>
        <v>-135.42940717427143</v>
      </c>
      <c r="M9" s="4">
        <f>'Paso 2'!M9*'Paso 3.2'!M9</f>
        <v>-87.18434992885723</v>
      </c>
      <c r="N9" s="4">
        <f>'Paso 2'!N9*'Paso 3.2'!N9</f>
        <v>12</v>
      </c>
    </row>
    <row r="10" spans="1:14" x14ac:dyDescent="0.2">
      <c r="A10" s="3" t="s">
        <v>9</v>
      </c>
      <c r="B10" s="43">
        <f>'Paso 2'!B10*'Paso 3.2'!B10</f>
        <v>0</v>
      </c>
      <c r="C10" s="4">
        <f>'Paso 2'!C10*'Paso 3.2'!C10</f>
        <v>0</v>
      </c>
      <c r="D10" s="4">
        <f>'Paso 2'!D10*'Paso 3.2'!D10</f>
        <v>0</v>
      </c>
      <c r="E10" s="4">
        <f>'Paso 2'!E10*'Paso 3.2'!E10</f>
        <v>0</v>
      </c>
      <c r="F10" s="4">
        <f>'Paso 2'!F10*'Paso 3.2'!F10</f>
        <v>-466.20388762357254</v>
      </c>
      <c r="G10" s="4">
        <f>'Paso 2'!G10*'Paso 3.2'!G10</f>
        <v>5.5096185030430238</v>
      </c>
      <c r="H10" s="4">
        <f>'Paso 2'!H10*'Paso 3.2'!H10</f>
        <v>5.5545858046636036</v>
      </c>
      <c r="I10" s="4">
        <f>'Paso 2'!I10*'Paso 3.2'!I10</f>
        <v>5.6344132925898824</v>
      </c>
      <c r="J10" s="4">
        <f>'Paso 2'!J10*'Paso 3.2'!J10</f>
        <v>5.6720464553053915</v>
      </c>
      <c r="K10" s="4">
        <f>'Paso 2'!K10*'Paso 3.2'!K10</f>
        <v>5.5681747773299097</v>
      </c>
      <c r="L10" s="4">
        <f>'Paso 2'!L10*'Paso 3.2'!L10</f>
        <v>5.5254710933294353</v>
      </c>
      <c r="M10" s="4">
        <f>'Paso 2'!M10*'Paso 3.2'!M10</f>
        <v>5.6020681942731239</v>
      </c>
      <c r="N10" s="4">
        <f>'Paso 2'!N10*'Paso 3.2'!N10</f>
        <v>5.7120403022611299</v>
      </c>
    </row>
    <row r="11" spans="1:14" x14ac:dyDescent="0.2">
      <c r="A11" s="3" t="s">
        <v>10</v>
      </c>
      <c r="B11" s="43">
        <f>'Paso 2'!B11*'Paso 3.2'!B11</f>
        <v>-109.25773665097168</v>
      </c>
      <c r="C11" s="4">
        <f>'Paso 2'!C11*'Paso 3.2'!C11</f>
        <v>0</v>
      </c>
      <c r="D11" s="4">
        <f>'Paso 2'!D11*'Paso 3.2'!D11</f>
        <v>0</v>
      </c>
      <c r="E11" s="4">
        <f>'Paso 2'!E11*'Paso 3.2'!E11</f>
        <v>0</v>
      </c>
      <c r="F11" s="4">
        <f>'Paso 2'!F11*'Paso 3.2'!F11</f>
        <v>0</v>
      </c>
      <c r="G11" s="4">
        <f>'Paso 2'!G11*'Paso 3.2'!G11</f>
        <v>97.678581381237677</v>
      </c>
      <c r="H11" s="4">
        <f>'Paso 2'!H11*'Paso 3.2'!H11</f>
        <v>0</v>
      </c>
      <c r="I11" s="4">
        <f>'Paso 2'!I11*'Paso 3.2'!I11</f>
        <v>0</v>
      </c>
      <c r="J11" s="4">
        <f>'Paso 2'!J11*'Paso 3.2'!J11</f>
        <v>0</v>
      </c>
      <c r="K11" s="4">
        <f>'Paso 2'!K11*'Paso 3.2'!K11</f>
        <v>0</v>
      </c>
      <c r="L11" s="4">
        <f>'Paso 2'!L11*'Paso 3.2'!L11</f>
        <v>0</v>
      </c>
      <c r="M11" s="4">
        <f>'Paso 2'!M11*'Paso 3.2'!M11</f>
        <v>0</v>
      </c>
      <c r="N11" s="60">
        <f>-T24</f>
        <v>-136.15912151210031</v>
      </c>
    </row>
    <row r="12" spans="1:14" ht="13.5" thickBot="1" x14ac:dyDescent="0.25">
      <c r="A12" s="5" t="s">
        <v>11</v>
      </c>
      <c r="B12" s="44">
        <f>'Paso 2'!B12*'Paso 3.2'!B12</f>
        <v>-245.97299360645601</v>
      </c>
      <c r="C12" s="6">
        <f>'Paso 2'!C12*'Paso 3.2'!C12</f>
        <v>0</v>
      </c>
      <c r="D12" s="6">
        <f>'Paso 2'!D12*'Paso 3.2'!D12</f>
        <v>0</v>
      </c>
      <c r="E12" s="6">
        <f>'Paso 2'!E12*'Paso 3.2'!E12</f>
        <v>0</v>
      </c>
      <c r="F12" s="6">
        <f>'Paso 2'!F12*'Paso 3.2'!F12</f>
        <v>0</v>
      </c>
      <c r="G12" s="6">
        <f>'Paso 2'!G12*'Paso 3.2'!G12</f>
        <v>0</v>
      </c>
      <c r="H12" s="6">
        <f>'Paso 2'!H12*'Paso 3.2'!H12</f>
        <v>0</v>
      </c>
      <c r="I12" s="6">
        <f>'Paso 2'!I12*'Paso 3.2'!I12</f>
        <v>0</v>
      </c>
      <c r="J12" s="6">
        <f>'Paso 2'!J12*'Paso 3.2'!J12</f>
        <v>0</v>
      </c>
      <c r="K12" s="6">
        <f>'Paso 2'!K12*'Paso 3.2'!K12</f>
        <v>0</v>
      </c>
      <c r="L12" s="6">
        <f>'Paso 2'!L12*'Paso 3.2'!L12</f>
        <v>0</v>
      </c>
      <c r="M12" s="6">
        <f>'Paso 2'!M12*'Paso 3.2'!M12</f>
        <v>0</v>
      </c>
      <c r="N12" s="6">
        <f>'Paso 2'!N12*'Paso 3.2'!N12</f>
        <v>0</v>
      </c>
    </row>
    <row r="13" spans="1:14" x14ac:dyDescent="0.2">
      <c r="A13" s="3" t="s">
        <v>12</v>
      </c>
      <c r="B13" s="43">
        <f>'Paso 2'!B13*'Paso 3.2'!B13</f>
        <v>-21881.353033042244</v>
      </c>
      <c r="C13" s="4">
        <f>'Paso 2'!C13*'Paso 3.2'!C13</f>
        <v>0</v>
      </c>
      <c r="D13" s="4">
        <f>'Paso 2'!D13*'Paso 3.2'!D13</f>
        <v>0</v>
      </c>
      <c r="E13" s="4">
        <f>'Paso 2'!E13*'Paso 3.2'!E13</f>
        <v>0</v>
      </c>
      <c r="F13" s="4">
        <f>'Paso 2'!F13*'Paso 3.2'!F13</f>
        <v>0</v>
      </c>
      <c r="G13" s="4">
        <f>'Paso 2'!G13*'Paso 3.2'!G13</f>
        <v>0</v>
      </c>
      <c r="H13" s="4">
        <f>'Paso 2'!H13*'Paso 3.2'!H13</f>
        <v>0</v>
      </c>
      <c r="I13" s="4">
        <f>'Paso 2'!I13*'Paso 3.2'!I13</f>
        <v>0</v>
      </c>
      <c r="J13" s="4">
        <f>'Paso 2'!J13*'Paso 3.2'!J13</f>
        <v>0</v>
      </c>
      <c r="K13" s="4">
        <f>'Paso 2'!K13*'Paso 3.2'!K13</f>
        <v>0</v>
      </c>
      <c r="L13" s="4">
        <f>'Paso 2'!L13*'Paso 3.2'!L13</f>
        <v>0</v>
      </c>
      <c r="M13" s="4">
        <f>'Paso 2'!M13*'Paso 3.2'!M13</f>
        <v>0</v>
      </c>
      <c r="N13" s="4">
        <f>'Paso 2'!N13*'Paso 3.2'!N13</f>
        <v>0</v>
      </c>
    </row>
    <row r="14" spans="1:14" x14ac:dyDescent="0.2">
      <c r="A14" s="3" t="s">
        <v>13</v>
      </c>
      <c r="B14" s="43">
        <f>'Paso 2'!B14*'Paso 3.2'!B14</f>
        <v>0</v>
      </c>
      <c r="C14" s="4">
        <f>'Paso 2'!C14*'Paso 3.2'!C14</f>
        <v>0</v>
      </c>
      <c r="D14" s="4">
        <f>'Paso 2'!D14*'Paso 3.2'!D14</f>
        <v>0</v>
      </c>
      <c r="E14" s="4">
        <f>'Paso 2'!E14*'Paso 3.2'!E14</f>
        <v>0</v>
      </c>
      <c r="F14" s="4">
        <f>'Paso 2'!F14*'Paso 3.2'!F14</f>
        <v>0</v>
      </c>
      <c r="G14" s="4">
        <f>'Paso 2'!G14*'Paso 3.2'!G14</f>
        <v>0</v>
      </c>
      <c r="H14" s="4">
        <f>'Paso 2'!H14*'Paso 3.2'!H14</f>
        <v>0</v>
      </c>
      <c r="I14" s="4">
        <f>'Paso 2'!I14*'Paso 3.2'!I14</f>
        <v>0</v>
      </c>
      <c r="J14" s="4">
        <f>'Paso 2'!J14*'Paso 3.2'!J14</f>
        <v>0</v>
      </c>
      <c r="K14" s="4">
        <f>'Paso 2'!K14*'Paso 3.2'!K14</f>
        <v>0</v>
      </c>
      <c r="L14" s="4">
        <f>'Paso 2'!L14*'Paso 3.2'!L14</f>
        <v>0</v>
      </c>
      <c r="M14" s="4">
        <f>'Paso 2'!M14*'Paso 3.2'!M14</f>
        <v>0</v>
      </c>
      <c r="N14" s="4">
        <f>'Paso 2'!N14*'Paso 3.2'!N14</f>
        <v>0</v>
      </c>
    </row>
    <row r="15" spans="1:14" x14ac:dyDescent="0.2">
      <c r="A15" s="3" t="s">
        <v>14</v>
      </c>
      <c r="B15" s="43">
        <f>'Paso 2'!B15*'Paso 3.2'!B15</f>
        <v>-265.76206212398517</v>
      </c>
      <c r="C15" s="4">
        <f>'Paso 2'!C15*'Paso 3.2'!C15</f>
        <v>0</v>
      </c>
      <c r="D15" s="4">
        <f>'Paso 2'!D15*'Paso 3.2'!D15</f>
        <v>0</v>
      </c>
      <c r="E15" s="4">
        <f>'Paso 2'!E15*'Paso 3.2'!E15</f>
        <v>0</v>
      </c>
      <c r="F15" s="4">
        <f>'Paso 2'!F15*'Paso 3.2'!F15</f>
        <v>-10.105315346410123</v>
      </c>
      <c r="G15" s="4">
        <f>'Paso 2'!G15*'Paso 3.2'!G15</f>
        <v>0</v>
      </c>
      <c r="H15" s="4">
        <f>'Paso 2'!H15*'Paso 3.2'!H15</f>
        <v>0</v>
      </c>
      <c r="I15" s="4">
        <f>'Paso 2'!I15*'Paso 3.2'!I15</f>
        <v>0</v>
      </c>
      <c r="J15" s="4">
        <f>'Paso 2'!J15*'Paso 3.2'!J15</f>
        <v>0</v>
      </c>
      <c r="K15" s="4">
        <f>'Paso 2'!K15*'Paso 3.2'!K15</f>
        <v>0</v>
      </c>
      <c r="L15" s="4">
        <f>'Paso 2'!L15*'Paso 3.2'!L15</f>
        <v>0</v>
      </c>
      <c r="M15" s="4">
        <f>'Paso 2'!M15*'Paso 3.2'!M15</f>
        <v>0</v>
      </c>
      <c r="N15" s="4">
        <f>'Paso 2'!N15*'Paso 3.2'!N15</f>
        <v>0</v>
      </c>
    </row>
    <row r="16" spans="1:14" ht="13.5" thickBot="1" x14ac:dyDescent="0.25">
      <c r="A16" s="7" t="s">
        <v>15</v>
      </c>
      <c r="B16" s="45">
        <f>'Paso 2'!B16*'Paso 3.2'!B16</f>
        <v>17275.119592418203</v>
      </c>
      <c r="C16" s="8">
        <f>'Paso 2'!C16*'Paso 3.2'!C16</f>
        <v>0</v>
      </c>
      <c r="D16" s="8">
        <f>'Paso 2'!D16*'Paso 3.2'!D16</f>
        <v>0</v>
      </c>
      <c r="E16" s="8">
        <f>'Paso 2'!E16*'Paso 3.2'!E16</f>
        <v>0</v>
      </c>
      <c r="F16" s="8">
        <f>'Paso 2'!F16*'Paso 3.2'!F16</f>
        <v>818.53054305921989</v>
      </c>
      <c r="G16" s="8">
        <f>'Paso 2'!G16*'Paso 3.2'!G16</f>
        <v>0</v>
      </c>
      <c r="H16" s="8">
        <f>'Paso 2'!H16*'Paso 3.2'!H16</f>
        <v>0</v>
      </c>
      <c r="I16" s="8">
        <f>'Paso 2'!I16*'Paso 3.2'!I16</f>
        <v>0</v>
      </c>
      <c r="J16" s="8">
        <f>'Paso 2'!J16*'Paso 3.2'!J16</f>
        <v>0</v>
      </c>
      <c r="K16" s="8">
        <f>'Paso 2'!K16*'Paso 3.2'!K16</f>
        <v>0</v>
      </c>
      <c r="L16" s="8">
        <f>'Paso 2'!L16*'Paso 3.2'!L16</f>
        <v>0</v>
      </c>
      <c r="M16" s="8">
        <f>'Paso 2'!M16*'Paso 3.2'!M16</f>
        <v>0</v>
      </c>
      <c r="N16" s="8">
        <f>'Paso 2'!N16*'Paso 3.2'!N16</f>
        <v>0</v>
      </c>
    </row>
    <row r="17" spans="1:20" x14ac:dyDescent="0.2">
      <c r="A17" s="3" t="s">
        <v>16</v>
      </c>
      <c r="B17" s="43">
        <f>'Paso 2'!B17*'Paso 3.2'!B17</f>
        <v>0</v>
      </c>
      <c r="C17" s="4">
        <f>'Paso 2'!C17*'Paso 3.2'!C17</f>
        <v>-169.76202134520634</v>
      </c>
      <c r="D17" s="4">
        <f>'Paso 2'!D17*'Paso 3.2'!D17</f>
        <v>-175.66922496128728</v>
      </c>
      <c r="E17" s="4">
        <f>'Paso 2'!E17*'Paso 3.2'!E17</f>
        <v>-323.22947979571074</v>
      </c>
      <c r="F17" s="4">
        <f>'Paso 2'!F17*'Paso 3.2'!F17</f>
        <v>-188.63255313298896</v>
      </c>
      <c r="G17" s="4">
        <f>'Paso 2'!G17*'Paso 3.2'!G17</f>
        <v>-197.99712442142771</v>
      </c>
      <c r="H17" s="4">
        <f>'Paso 2'!H17*'Paso 3.2'!H17</f>
        <v>-336.55881656265348</v>
      </c>
      <c r="I17" s="4">
        <f>'Paso 2'!I17*'Paso 3.2'!I17</f>
        <v>-215.97718903176627</v>
      </c>
      <c r="J17" s="4">
        <f>'Paso 2'!J17*'Paso 3.2'!J17</f>
        <v>-155.62154794801404</v>
      </c>
      <c r="K17" s="4">
        <f>'Paso 2'!K17*'Paso 3.2'!K17</f>
        <v>-167.26315872288689</v>
      </c>
      <c r="L17" s="4">
        <f>'Paso 2'!L17*'Paso 3.2'!L17</f>
        <v>-317.41267306469865</v>
      </c>
      <c r="M17" s="4">
        <f>'Paso 2'!M17*'Paso 3.2'!M17</f>
        <v>-269.75863566222887</v>
      </c>
      <c r="N17" s="4">
        <f>'Paso 2'!N17*'Paso 3.2'!N17</f>
        <v>-257</v>
      </c>
    </row>
    <row r="18" spans="1:20" x14ac:dyDescent="0.2">
      <c r="A18" s="3" t="s">
        <v>17</v>
      </c>
      <c r="B18" s="43">
        <f>'Paso 2'!B18*'Paso 3.2'!B18</f>
        <v>0</v>
      </c>
      <c r="C18" s="4">
        <f>'Paso 2'!C18*'Paso 3.2'!C18</f>
        <v>0</v>
      </c>
      <c r="D18" s="4">
        <f>'Paso 2'!D18*'Paso 3.2'!D18</f>
        <v>0</v>
      </c>
      <c r="E18" s="4">
        <f>'Paso 2'!E18*'Paso 3.2'!E18</f>
        <v>0</v>
      </c>
      <c r="F18" s="4">
        <f>'Paso 2'!F18*'Paso 3.2'!F18</f>
        <v>0</v>
      </c>
      <c r="G18" s="4">
        <f>'Paso 2'!G18*'Paso 3.2'!G18</f>
        <v>0</v>
      </c>
      <c r="H18" s="4">
        <f>'Paso 2'!H18*'Paso 3.2'!H18</f>
        <v>0</v>
      </c>
      <c r="I18" s="4">
        <f>'Paso 2'!I18*'Paso 3.2'!I18</f>
        <v>0</v>
      </c>
      <c r="J18" s="4">
        <f>'Paso 2'!J18*'Paso 3.2'!J18</f>
        <v>0</v>
      </c>
      <c r="K18" s="4">
        <f>'Paso 2'!K18*'Paso 3.2'!K18</f>
        <v>0</v>
      </c>
      <c r="L18" s="4">
        <f>'Paso 2'!L18*'Paso 3.2'!L18</f>
        <v>0</v>
      </c>
      <c r="M18" s="4">
        <f>'Paso 2'!M18*'Paso 3.2'!M18</f>
        <v>0</v>
      </c>
      <c r="N18" s="4">
        <f>'Paso 2'!N18*'Paso 3.2'!N18</f>
        <v>0</v>
      </c>
    </row>
    <row r="19" spans="1:20" x14ac:dyDescent="0.2">
      <c r="A19" s="3" t="s">
        <v>18</v>
      </c>
      <c r="B19" s="43">
        <f>'Paso 2'!B19*'Paso 3.2'!B19</f>
        <v>0</v>
      </c>
      <c r="C19" s="4">
        <f>'Paso 2'!C19*'Paso 3.2'!C19</f>
        <v>23.215319158318813</v>
      </c>
      <c r="D19" s="4">
        <f>'Paso 2'!D19*'Paso 3.2'!D19</f>
        <v>24.083684067273257</v>
      </c>
      <c r="E19" s="4">
        <f>'Paso 2'!E19*'Paso 3.2'!E19</f>
        <v>24.917047693031236</v>
      </c>
      <c r="F19" s="4">
        <f>'Paso 2'!F19*'Paso 3.2'!F19</f>
        <v>25.600132210905645</v>
      </c>
      <c r="G19" s="4">
        <f>'Paso 2'!G19*'Paso 3.2'!G19</f>
        <v>26.399616589523696</v>
      </c>
      <c r="H19" s="4">
        <f>'Paso 2'!H19*'Paso 3.2'!H19</f>
        <v>27.993549959842632</v>
      </c>
      <c r="I19" s="4">
        <f>'Paso 2'!I19*'Paso 3.2'!I19</f>
        <v>29.619728781499376</v>
      </c>
      <c r="J19" s="4">
        <f>'Paso 2'!J19*'Paso 3.2'!J19</f>
        <v>21.383113458505747</v>
      </c>
      <c r="K19" s="4">
        <f>'Paso 2'!K19*'Paso 3.2'!K19</f>
        <v>22.301754496384916</v>
      </c>
      <c r="L19" s="4">
        <f>'Paso 2'!L19*'Paso 3.2'!L19</f>
        <v>43.379731985508819</v>
      </c>
      <c r="M19" s="4">
        <f>'Paso 2'!M19*'Paso 3.2'!M19</f>
        <v>36.92513644045718</v>
      </c>
      <c r="N19" s="4">
        <f>'Paso 2'!N19*'Paso 3.2'!N19</f>
        <v>34</v>
      </c>
    </row>
    <row r="20" spans="1:20" x14ac:dyDescent="0.2">
      <c r="A20" s="3" t="s">
        <v>19</v>
      </c>
      <c r="B20" s="43">
        <f>'Paso 2'!B20*'Paso 3.2'!B20</f>
        <v>0</v>
      </c>
      <c r="C20" s="4">
        <f>'Paso 2'!C20*'Paso 3.2'!C20</f>
        <v>11.583476955036158</v>
      </c>
      <c r="D20" s="4">
        <f>'Paso 2'!D20*'Paso 3.2'!D20</f>
        <v>11.309886929631265</v>
      </c>
      <c r="E20" s="4">
        <f>'Paso 2'!E20*'Paso 3.2'!E20</f>
        <v>11.051172078668483</v>
      </c>
      <c r="F20" s="4">
        <f>'Paso 2'!F20*'Paso 3.2'!F20</f>
        <v>10.756546779845443</v>
      </c>
      <c r="G20" s="4">
        <f>'Paso 2'!G20*'Paso 3.2'!G20</f>
        <v>10.537846955318205</v>
      </c>
      <c r="H20" s="4">
        <f>'Paso 2'!H20*'Paso 3.2'!H20</f>
        <v>10.158265477851987</v>
      </c>
      <c r="I20" s="4">
        <f>'Paso 2'!I20*'Paso 3.2'!I20</f>
        <v>9.8526736710681959</v>
      </c>
      <c r="J20" s="4">
        <f>'Paso 2'!J20*'Paso 3.2'!J20</f>
        <v>9.4838068024298643</v>
      </c>
      <c r="K20" s="4">
        <f>'Paso 2'!K20*'Paso 3.2'!K20</f>
        <v>8.9021170031403063</v>
      </c>
      <c r="L20" s="4">
        <f>'Paso 2'!L20*'Paso 3.2'!L20</f>
        <v>8.4467039109994815</v>
      </c>
      <c r="M20" s="4">
        <f>'Paso 2'!M20*'Paso 3.2'!M20</f>
        <v>8.1884909050828671</v>
      </c>
      <c r="N20" s="4">
        <f>'Paso 2'!N20*'Paso 3.2'!N20</f>
        <v>7.9833333333333343</v>
      </c>
    </row>
    <row r="21" spans="1:20" x14ac:dyDescent="0.2">
      <c r="A21" s="3" t="s">
        <v>20</v>
      </c>
      <c r="B21" s="43">
        <f>'Paso 2'!B21*'Paso 3.2'!B21</f>
        <v>0</v>
      </c>
      <c r="C21" s="4">
        <f>'Paso 2'!C21*'Paso 3.2'!C21</f>
        <v>0</v>
      </c>
      <c r="D21" s="4">
        <f>'Paso 2'!D21*'Paso 3.2'!D21</f>
        <v>0</v>
      </c>
      <c r="E21" s="4">
        <f>'Paso 2'!E21*'Paso 3.2'!E21</f>
        <v>0</v>
      </c>
      <c r="F21" s="4">
        <f>'Paso 2'!F21*'Paso 3.2'!F21</f>
        <v>-72.758270494152882</v>
      </c>
      <c r="G21" s="4">
        <f>'Paso 2'!G21*'Paso 3.2'!G21</f>
        <v>-118.79827465285663</v>
      </c>
      <c r="H21" s="4">
        <f>'Paso 2'!H21*'Paso 3.2'!H21</f>
        <v>-114.51906801753805</v>
      </c>
      <c r="I21" s="4">
        <f>'Paso 2'!I21*'Paso 3.2'!I21</f>
        <v>-88.859186344498127</v>
      </c>
      <c r="J21" s="4">
        <f>'Paso 2'!J21*'Paso 3.2'!J21</f>
        <v>-32.07467018775862</v>
      </c>
      <c r="K21" s="4">
        <f>'Paso 2'!K21*'Paso 3.2'!K21</f>
        <v>90.322105710358912</v>
      </c>
      <c r="L21" s="4">
        <f>'Paso 2'!L21*'Paso 3.2'!L21</f>
        <v>9.522380191940961</v>
      </c>
      <c r="M21" s="4">
        <f>'Paso 2'!M21*'Paso 3.2'!M21</f>
        <v>-43.079325847200046</v>
      </c>
      <c r="N21" s="4">
        <f>'Paso 2'!N21*'Paso 3.2'!N21</f>
        <v>-28</v>
      </c>
    </row>
    <row r="22" spans="1:20" x14ac:dyDescent="0.2">
      <c r="A22" s="3" t="s">
        <v>21</v>
      </c>
      <c r="B22" s="43">
        <f>'Paso 2'!B22*'Paso 3.2'!B22</f>
        <v>0</v>
      </c>
      <c r="C22" s="4">
        <f>'Paso 2'!C22*'Paso 3.2'!C22</f>
        <v>0</v>
      </c>
      <c r="D22" s="4">
        <f>'Paso 2'!D22*'Paso 3.2'!D22</f>
        <v>0</v>
      </c>
      <c r="E22" s="4">
        <f>'Paso 2'!E22*'Paso 3.2'!E22</f>
        <v>0</v>
      </c>
      <c r="F22" s="4">
        <f>'Paso 2'!F22*'Paso 3.2'!F22</f>
        <v>0</v>
      </c>
      <c r="G22" s="4">
        <f>'Paso 2'!G22*'Paso 3.2'!G22</f>
        <v>0</v>
      </c>
      <c r="H22" s="4">
        <f>'Paso 2'!H22*'Paso 3.2'!H22</f>
        <v>0</v>
      </c>
      <c r="I22" s="4">
        <f>'Paso 2'!I22*'Paso 3.2'!I22</f>
        <v>0</v>
      </c>
      <c r="J22" s="4">
        <f>'Paso 2'!J22*'Paso 3.2'!J22</f>
        <v>0</v>
      </c>
      <c r="K22" s="4">
        <f>'Paso 2'!K22*'Paso 3.2'!K22</f>
        <v>0</v>
      </c>
      <c r="L22" s="4">
        <f>'Paso 2'!L22*'Paso 3.2'!L22</f>
        <v>0</v>
      </c>
      <c r="M22" s="4">
        <f>'Paso 2'!M22*'Paso 3.2'!M22</f>
        <v>0</v>
      </c>
      <c r="N22" s="4">
        <f>'Paso 2'!N22*'Paso 3.2'!N22</f>
        <v>0</v>
      </c>
    </row>
    <row r="23" spans="1:20" x14ac:dyDescent="0.2">
      <c r="A23" s="3" t="s">
        <v>22</v>
      </c>
      <c r="B23" s="43">
        <f>'Paso 2'!B23*'Paso 3.2'!B23</f>
        <v>0</v>
      </c>
      <c r="C23" s="4">
        <f>'Paso 2'!C23*'Paso 3.2'!C23</f>
        <v>0</v>
      </c>
      <c r="D23" s="4">
        <f>'Paso 2'!D23*'Paso 3.2'!D23</f>
        <v>0</v>
      </c>
      <c r="E23" s="4">
        <f>'Paso 2'!E23*'Paso 3.2'!E23</f>
        <v>0</v>
      </c>
      <c r="F23" s="4">
        <f>'Paso 2'!F23*'Paso 3.2'!F23</f>
        <v>21.614146713154987</v>
      </c>
      <c r="G23" s="4">
        <f>'Paso 2'!G23*'Paso 3.2'!G23</f>
        <v>20.933235088251617</v>
      </c>
      <c r="H23" s="4">
        <f>'Paso 2'!H23*'Paso 3.2'!H23</f>
        <v>19.93577554821027</v>
      </c>
      <c r="I23" s="4">
        <f>'Paso 2'!I23*'Paso 3.2'!I23</f>
        <v>19.089119747086222</v>
      </c>
      <c r="J23" s="4">
        <f>'Paso 2'!J23*'Paso 3.2'!J23</f>
        <v>18.125880752036945</v>
      </c>
      <c r="K23" s="4">
        <f>'Paso 2'!K23*'Paso 3.2'!K23</f>
        <v>16.770105287348201</v>
      </c>
      <c r="L23" s="4">
        <f>'Paso 2'!L23*'Paso 3.2'!L23</f>
        <v>15.670030776704202</v>
      </c>
      <c r="M23" s="4">
        <f>'Paso 2'!M23*'Paso 3.2'!M23</f>
        <v>14.945494040674497</v>
      </c>
      <c r="N23" s="4">
        <f>'Paso 2'!N23*'Paso 3.2'!N23</f>
        <v>14.320715477827051</v>
      </c>
      <c r="O23" s="4"/>
      <c r="P23" s="4"/>
      <c r="Q23" s="4"/>
      <c r="S23" s="3" t="s">
        <v>39</v>
      </c>
      <c r="T23" s="3" t="s">
        <v>59</v>
      </c>
    </row>
    <row r="24" spans="1:20" x14ac:dyDescent="0.2">
      <c r="A24" s="3" t="s">
        <v>23</v>
      </c>
      <c r="B24" s="43">
        <f>'Paso 2'!B24*'Paso 3.2'!B24</f>
        <v>0</v>
      </c>
      <c r="C24" s="4">
        <f>'Paso 2'!C24*'Paso 3.2'!C24</f>
        <v>0</v>
      </c>
      <c r="D24" s="4">
        <f>'Paso 2'!D24*'Paso 3.2'!D24</f>
        <v>0</v>
      </c>
      <c r="E24" s="4">
        <f>'Paso 2'!E24*'Paso 3.2'!E24</f>
        <v>0</v>
      </c>
      <c r="F24" s="4">
        <f>'Paso 2'!F24*'Paso 3.2'!F24</f>
        <v>0</v>
      </c>
      <c r="G24" s="4">
        <f>'Paso 2'!G24*'Paso 3.2'!G24</f>
        <v>0</v>
      </c>
      <c r="H24" s="4">
        <f>'Paso 2'!H24*'Paso 3.2'!H24</f>
        <v>0</v>
      </c>
      <c r="I24" s="4">
        <f>'Paso 2'!I24*'Paso 3.2'!I24</f>
        <v>0</v>
      </c>
      <c r="J24" s="4">
        <f>'Paso 2'!J24*'Paso 3.2'!J24</f>
        <v>0</v>
      </c>
      <c r="K24" s="4">
        <f>'Paso 2'!K24*'Paso 3.2'!K24</f>
        <v>0</v>
      </c>
      <c r="L24" s="4">
        <f>'Paso 2'!L24*'Paso 3.2'!L24</f>
        <v>0</v>
      </c>
      <c r="M24" s="4">
        <f>'Paso 2'!M24*'Paso 3.2'!M24</f>
        <v>0</v>
      </c>
      <c r="N24" s="60">
        <f>T24</f>
        <v>136.15912151210031</v>
      </c>
      <c r="P24" s="3">
        <f>'ipc empalme ipim'!B315</f>
        <v>184.2552</v>
      </c>
      <c r="Q24" s="3">
        <f>('ipc empalme ipim'!B315+'ipc empalme ipim'!B304)/2</f>
        <v>155.62195</v>
      </c>
      <c r="R24" s="59">
        <f>P24/Q24</f>
        <v>1.1839923609747853</v>
      </c>
      <c r="S24" s="4">
        <v>115</v>
      </c>
      <c r="T24" s="4">
        <f>S24*R24</f>
        <v>136.15912151210031</v>
      </c>
    </row>
    <row r="25" spans="1:20" x14ac:dyDescent="0.2">
      <c r="A25" s="3" t="s">
        <v>25</v>
      </c>
      <c r="B25" s="43">
        <f>'Paso 2'!B25*'Paso 3.2'!B25</f>
        <v>0</v>
      </c>
      <c r="C25" s="4">
        <f>'Paso 2'!C25*'Paso 3.2'!C25</f>
        <v>0</v>
      </c>
      <c r="D25" s="4">
        <f>'Paso 2'!D25*'Paso 3.2'!D25</f>
        <v>0</v>
      </c>
      <c r="E25" s="4">
        <f>'Paso 2'!E25*'Paso 3.2'!E25</f>
        <v>0</v>
      </c>
      <c r="F25" s="4">
        <f>'Paso 2'!F25*'Paso 3.2'!F25</f>
        <v>0</v>
      </c>
      <c r="G25" s="4">
        <f>'Paso 2'!G25*'Paso 3.2'!G25</f>
        <v>0</v>
      </c>
      <c r="H25" s="4">
        <f>'Paso 2'!H25*'Paso 3.2'!H25</f>
        <v>0</v>
      </c>
      <c r="I25" s="4">
        <f>'Paso 2'!I25*'Paso 3.2'!I25</f>
        <v>0</v>
      </c>
      <c r="J25" s="4">
        <f>'Paso 2'!J25*'Paso 3.2'!J25</f>
        <v>0</v>
      </c>
      <c r="K25" s="4">
        <f>'Paso 2'!K25*'Paso 3.2'!K25</f>
        <v>0</v>
      </c>
      <c r="L25" s="4">
        <f>'Paso 2'!L25*'Paso 3.2'!L25</f>
        <v>0</v>
      </c>
      <c r="M25" s="4">
        <f>'Paso 2'!M25*'Paso 3.2'!M25</f>
        <v>0</v>
      </c>
      <c r="N25" s="4">
        <f>'Paso 2'!N25*'Paso 3.2'!N25</f>
        <v>0</v>
      </c>
    </row>
    <row r="26" spans="1:20" x14ac:dyDescent="0.2">
      <c r="A26" s="3" t="s">
        <v>26</v>
      </c>
      <c r="B26" s="43">
        <f>'Paso 2'!B26*'Paso 3.2'!B26</f>
        <v>0</v>
      </c>
      <c r="C26" s="4">
        <f>'Paso 2'!C26*'Paso 3.2'!C26</f>
        <v>0</v>
      </c>
      <c r="D26" s="4">
        <f>'Paso 2'!D26*'Paso 3.2'!D26</f>
        <v>0</v>
      </c>
      <c r="E26" s="4">
        <f>'Paso 2'!E26*'Paso 3.2'!E26</f>
        <v>0</v>
      </c>
      <c r="F26" s="4">
        <f>'Paso 2'!F26*'Paso 3.2'!F26</f>
        <v>0</v>
      </c>
      <c r="G26" s="4">
        <f>'Paso 2'!G26*'Paso 3.2'!G26</f>
        <v>0</v>
      </c>
      <c r="H26" s="4">
        <f>'Paso 2'!H26*'Paso 3.2'!H26</f>
        <v>0</v>
      </c>
      <c r="I26" s="4">
        <f>'Paso 2'!I26*'Paso 3.2'!I26</f>
        <v>0</v>
      </c>
      <c r="J26" s="4">
        <f>'Paso 2'!J26*'Paso 3.2'!J26</f>
        <v>0</v>
      </c>
      <c r="K26" s="4">
        <f>'Paso 2'!K26*'Paso 3.2'!K26</f>
        <v>0</v>
      </c>
      <c r="L26" s="4">
        <f>'Paso 2'!L26*'Paso 3.2'!L26</f>
        <v>0</v>
      </c>
      <c r="M26" s="4">
        <f>'Paso 2'!M26*'Paso 3.2'!M26</f>
        <v>0</v>
      </c>
      <c r="N26" s="4">
        <f>'Paso 2'!N26*'Paso 3.2'!N26</f>
        <v>0</v>
      </c>
    </row>
    <row r="27" spans="1:20" x14ac:dyDescent="0.2">
      <c r="A27" s="9" t="s">
        <v>24</v>
      </c>
      <c r="B27" s="10">
        <f>ROUND(SUM(B2:B24),0)</f>
        <v>0</v>
      </c>
      <c r="C27" s="10">
        <f t="shared" ref="C27:N27" si="0">ROUND(SUM(C2:C24),0)</f>
        <v>0</v>
      </c>
      <c r="D27" s="10">
        <f t="shared" si="0"/>
        <v>0</v>
      </c>
      <c r="E27" s="10">
        <f t="shared" si="0"/>
        <v>0</v>
      </c>
      <c r="F27" s="10">
        <f t="shared" si="0"/>
        <v>0</v>
      </c>
      <c r="G27" s="10">
        <f t="shared" si="0"/>
        <v>0</v>
      </c>
      <c r="H27" s="10">
        <f t="shared" si="0"/>
        <v>0</v>
      </c>
      <c r="I27" s="10">
        <f t="shared" si="0"/>
        <v>0</v>
      </c>
      <c r="J27" s="10">
        <f t="shared" si="0"/>
        <v>0</v>
      </c>
      <c r="K27" s="10">
        <f t="shared" si="0"/>
        <v>0</v>
      </c>
      <c r="L27" s="10">
        <f t="shared" si="0"/>
        <v>0</v>
      </c>
      <c r="M27" s="10">
        <f t="shared" si="0"/>
        <v>0</v>
      </c>
      <c r="N27" s="10">
        <f t="shared" si="0"/>
        <v>0</v>
      </c>
    </row>
    <row r="29" spans="1:20" x14ac:dyDescent="0.2">
      <c r="B29" s="4"/>
      <c r="C29" s="4"/>
      <c r="D29" s="4"/>
      <c r="E29" s="4"/>
      <c r="F29" s="4"/>
    </row>
    <row r="30" spans="1:20" x14ac:dyDescent="0.2">
      <c r="B30" s="4"/>
      <c r="C30" s="4"/>
      <c r="D30" s="4"/>
      <c r="E30" s="4"/>
      <c r="F30" s="4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workbookViewId="0">
      <selection activeCell="G6" sqref="G6"/>
    </sheetView>
  </sheetViews>
  <sheetFormatPr baseColWidth="10" defaultRowHeight="12.75" x14ac:dyDescent="0.2"/>
  <cols>
    <col min="1" max="1" width="42.28515625" style="3" bestFit="1" customWidth="1"/>
    <col min="2" max="16384" width="11.42578125" style="3"/>
  </cols>
  <sheetData>
    <row r="1" spans="1:2" x14ac:dyDescent="0.2">
      <c r="A1" s="1" t="s">
        <v>0</v>
      </c>
      <c r="B1" s="2">
        <v>43435</v>
      </c>
    </row>
    <row r="2" spans="1:2" x14ac:dyDescent="0.2">
      <c r="A2" s="3" t="s">
        <v>1</v>
      </c>
      <c r="B2" s="4">
        <f>SUM('Paso 4'!B2:N2)</f>
        <v>1333.3837164283723</v>
      </c>
    </row>
    <row r="3" spans="1:2" x14ac:dyDescent="0.2">
      <c r="A3" s="3" t="s">
        <v>2</v>
      </c>
      <c r="B3" s="4">
        <f>SUM('Paso 4'!B3:N3)</f>
        <v>1322.1719755397623</v>
      </c>
    </row>
    <row r="4" spans="1:2" x14ac:dyDescent="0.2">
      <c r="A4" s="3" t="s">
        <v>3</v>
      </c>
      <c r="B4" s="4">
        <f>SUM('Paso 4'!B4:N4)</f>
        <v>343.43001665401579</v>
      </c>
    </row>
    <row r="5" spans="1:2" x14ac:dyDescent="0.2">
      <c r="A5" s="3" t="s">
        <v>4</v>
      </c>
      <c r="B5" s="4">
        <f>SUM('Paso 4'!B5:N5)</f>
        <v>243.61522361365309</v>
      </c>
    </row>
    <row r="6" spans="1:2" x14ac:dyDescent="0.2">
      <c r="A6" s="3" t="s">
        <v>5</v>
      </c>
      <c r="B6" s="4">
        <f>SUM('Paso 4'!B6:N6)</f>
        <v>1889.9094062992276</v>
      </c>
    </row>
    <row r="7" spans="1:2" x14ac:dyDescent="0.2">
      <c r="A7" s="3" t="s">
        <v>6</v>
      </c>
      <c r="B7" s="4">
        <f>SUM('Paso 4'!B7:N7)</f>
        <v>4126.2487309402677</v>
      </c>
    </row>
    <row r="8" spans="1:2" x14ac:dyDescent="0.2">
      <c r="A8" s="3" t="s">
        <v>7</v>
      </c>
      <c r="B8" s="4">
        <f>SUM('Paso 4'!B8:N8)</f>
        <v>-1425.2273790181266</v>
      </c>
    </row>
    <row r="9" spans="1:2" x14ac:dyDescent="0.2">
      <c r="A9" s="3" t="s">
        <v>8</v>
      </c>
      <c r="B9" s="4">
        <f>SUM('Paso 4'!B9:N9)</f>
        <v>-537.33470212936516</v>
      </c>
    </row>
    <row r="10" spans="1:2" x14ac:dyDescent="0.2">
      <c r="A10" s="3" t="s">
        <v>9</v>
      </c>
      <c r="B10" s="4">
        <f>SUM('Paso 4'!B10:N10)</f>
        <v>-421.42546920077706</v>
      </c>
    </row>
    <row r="11" spans="1:2" x14ac:dyDescent="0.2">
      <c r="A11" s="3" t="s">
        <v>10</v>
      </c>
      <c r="B11" s="60">
        <f>SUM('Paso 4'!B11:N11)</f>
        <v>-147.73827678183432</v>
      </c>
    </row>
    <row r="12" spans="1:2" ht="13.5" thickBot="1" x14ac:dyDescent="0.25">
      <c r="A12" s="5" t="s">
        <v>11</v>
      </c>
      <c r="B12" s="6">
        <f>SUM('Paso 4'!B12:N12)</f>
        <v>-245.97299360645601</v>
      </c>
    </row>
    <row r="13" spans="1:2" x14ac:dyDescent="0.2">
      <c r="A13" s="3" t="s">
        <v>12</v>
      </c>
      <c r="B13" s="4">
        <f>SUM('Paso 4'!B13:N13)</f>
        <v>-21881.353033042244</v>
      </c>
    </row>
    <row r="14" spans="1:2" x14ac:dyDescent="0.2">
      <c r="A14" s="3" t="s">
        <v>13</v>
      </c>
      <c r="B14" s="4">
        <f>SUM('Paso 4'!B14:N14)</f>
        <v>0</v>
      </c>
    </row>
    <row r="15" spans="1:2" x14ac:dyDescent="0.2">
      <c r="A15" s="3" t="s">
        <v>14</v>
      </c>
      <c r="B15" s="4">
        <f>SUM('Paso 4'!B15:N15)</f>
        <v>-275.8673774703953</v>
      </c>
    </row>
    <row r="16" spans="1:2" ht="13.5" thickBot="1" x14ac:dyDescent="0.25">
      <c r="A16" s="7" t="s">
        <v>15</v>
      </c>
      <c r="B16" s="8">
        <f>SUM('Paso 4'!B16:N16)</f>
        <v>18093.650135477423</v>
      </c>
    </row>
    <row r="17" spans="1:3" x14ac:dyDescent="0.2">
      <c r="A17" s="3" t="s">
        <v>16</v>
      </c>
      <c r="B17" s="4">
        <f>SUM('Paso 4'!B17:N17)</f>
        <v>-2774.8824246488689</v>
      </c>
    </row>
    <row r="18" spans="1:3" x14ac:dyDescent="0.2">
      <c r="A18" s="3" t="s">
        <v>17</v>
      </c>
      <c r="B18" s="4">
        <f>SUM('Paso 4'!B18:N18)</f>
        <v>0</v>
      </c>
    </row>
    <row r="19" spans="1:3" x14ac:dyDescent="0.2">
      <c r="A19" s="3" t="s">
        <v>18</v>
      </c>
      <c r="B19" s="4">
        <f>SUM('Paso 4'!B19:N19)</f>
        <v>339.81881484125131</v>
      </c>
    </row>
    <row r="20" spans="1:3" x14ac:dyDescent="0.2">
      <c r="A20" s="3" t="s">
        <v>19</v>
      </c>
      <c r="B20" s="4">
        <f>SUM('Paso 4'!B20:N20)</f>
        <v>118.2543208024056</v>
      </c>
    </row>
    <row r="21" spans="1:3" x14ac:dyDescent="0.2">
      <c r="A21" s="3" t="s">
        <v>20</v>
      </c>
      <c r="B21" s="4">
        <f>SUM('Paso 4'!B21:N21)</f>
        <v>-398.24430964170449</v>
      </c>
    </row>
    <row r="22" spans="1:3" x14ac:dyDescent="0.2">
      <c r="A22" s="3" t="s">
        <v>21</v>
      </c>
      <c r="B22" s="4">
        <f>SUM('Paso 4'!B22:N22)</f>
        <v>0</v>
      </c>
    </row>
    <row r="23" spans="1:3" x14ac:dyDescent="0.2">
      <c r="A23" s="3" t="s">
        <v>22</v>
      </c>
      <c r="B23" s="4">
        <f>SUM('Paso 4'!B23:N23)</f>
        <v>161.40450343129402</v>
      </c>
      <c r="C23" s="4"/>
    </row>
    <row r="24" spans="1:3" x14ac:dyDescent="0.2">
      <c r="A24" s="3" t="s">
        <v>23</v>
      </c>
      <c r="B24" s="60">
        <f>SUM('Paso 4'!B24:N24)</f>
        <v>136.15912151210031</v>
      </c>
    </row>
    <row r="25" spans="1:3" x14ac:dyDescent="0.2">
      <c r="A25" s="3" t="s">
        <v>25</v>
      </c>
      <c r="B25" s="4">
        <f>SUM('Paso 4'!B25:N25)</f>
        <v>0</v>
      </c>
    </row>
    <row r="26" spans="1:3" x14ac:dyDescent="0.2">
      <c r="A26" s="3" t="s">
        <v>26</v>
      </c>
      <c r="B26" s="4">
        <f>SUM('Paso 4'!B26:N26)</f>
        <v>0</v>
      </c>
    </row>
    <row r="27" spans="1:3" x14ac:dyDescent="0.2">
      <c r="A27" s="9" t="s">
        <v>24</v>
      </c>
      <c r="B27" s="10">
        <f t="shared" ref="B27" si="0">ROUND(SUM(B2:B24),0)</f>
        <v>0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H28" sqref="H28"/>
    </sheetView>
  </sheetViews>
  <sheetFormatPr baseColWidth="10" defaultRowHeight="12.75" x14ac:dyDescent="0.2"/>
  <cols>
    <col min="1" max="1" width="42.28515625" style="3" bestFit="1" customWidth="1"/>
    <col min="2" max="5" width="12.7109375" style="3" customWidth="1"/>
    <col min="6" max="16384" width="11.42578125" style="3"/>
  </cols>
  <sheetData>
    <row r="1" spans="1:5" x14ac:dyDescent="0.2">
      <c r="C1" s="25" t="s">
        <v>39</v>
      </c>
      <c r="D1" s="25" t="s">
        <v>62</v>
      </c>
      <c r="E1" s="25" t="s">
        <v>63</v>
      </c>
    </row>
    <row r="2" spans="1:5" x14ac:dyDescent="0.2">
      <c r="A2" s="1" t="s">
        <v>0</v>
      </c>
      <c r="B2" s="1" t="s">
        <v>61</v>
      </c>
      <c r="C2" s="2">
        <v>43435</v>
      </c>
      <c r="D2" s="2">
        <v>43435</v>
      </c>
      <c r="E2" s="2">
        <v>43435</v>
      </c>
    </row>
    <row r="3" spans="1:5" x14ac:dyDescent="0.2">
      <c r="A3" s="3" t="s">
        <v>1</v>
      </c>
      <c r="B3" s="3" t="s">
        <v>28</v>
      </c>
      <c r="C3" s="4">
        <f>'Paso 1.1'!N2</f>
        <v>767.00519797920674</v>
      </c>
      <c r="D3" s="4">
        <f>SUM('Paso 4'!B2:N2)</f>
        <v>1333.3837164283723</v>
      </c>
      <c r="E3" s="4">
        <f>IF(B3="Cierre",C3,"")</f>
        <v>767.00519797920674</v>
      </c>
    </row>
    <row r="4" spans="1:5" x14ac:dyDescent="0.2">
      <c r="A4" s="3" t="s">
        <v>2</v>
      </c>
      <c r="B4" s="3" t="s">
        <v>28</v>
      </c>
      <c r="C4" s="4">
        <f>'Paso 1.1'!N3</f>
        <v>1064</v>
      </c>
      <c r="D4" s="4">
        <f>SUM('Paso 4'!B3:N3)</f>
        <v>1322.1719755397623</v>
      </c>
      <c r="E4" s="4">
        <f t="shared" ref="E4:E12" si="0">IF(B4="Cierre",C4,"")</f>
        <v>1064</v>
      </c>
    </row>
    <row r="5" spans="1:5" x14ac:dyDescent="0.2">
      <c r="A5" s="3" t="s">
        <v>3</v>
      </c>
      <c r="B5" s="3" t="s">
        <v>28</v>
      </c>
      <c r="C5" s="4">
        <f>'Paso 1.1'!N4</f>
        <v>257</v>
      </c>
      <c r="D5" s="4">
        <f>SUM('Paso 4'!B4:N4)</f>
        <v>343.43001665401579</v>
      </c>
      <c r="E5" s="4">
        <f t="shared" si="0"/>
        <v>257</v>
      </c>
    </row>
    <row r="6" spans="1:5" x14ac:dyDescent="0.2">
      <c r="A6" s="3" t="s">
        <v>4</v>
      </c>
      <c r="B6" s="3" t="s">
        <v>28</v>
      </c>
      <c r="C6" s="4">
        <v>170</v>
      </c>
      <c r="D6" s="4">
        <f>SUM('Paso 4'!B5:N5)</f>
        <v>243.61522361365309</v>
      </c>
      <c r="E6" s="4">
        <f t="shared" si="0"/>
        <v>170</v>
      </c>
    </row>
    <row r="7" spans="1:5" x14ac:dyDescent="0.2">
      <c r="A7" s="3" t="s">
        <v>5</v>
      </c>
      <c r="B7" s="3" t="s">
        <v>29</v>
      </c>
      <c r="C7" s="4">
        <v>0</v>
      </c>
      <c r="D7" s="4">
        <f>SUM('Paso 4'!B6:N6)</f>
        <v>1889.9094062992276</v>
      </c>
      <c r="E7" s="64">
        <v>0</v>
      </c>
    </row>
    <row r="8" spans="1:5" x14ac:dyDescent="0.2">
      <c r="A8" s="3" t="s">
        <v>6</v>
      </c>
      <c r="B8" s="3" t="s">
        <v>29</v>
      </c>
      <c r="C8" s="4">
        <f>'Paso 1.1'!N7</f>
        <v>1493</v>
      </c>
      <c r="D8" s="4">
        <f>SUM('Paso 4'!B7:N7)</f>
        <v>4126.2487309402677</v>
      </c>
      <c r="E8" s="64">
        <f>'AUX-BU paso 5.2'!G8</f>
        <v>4126.2487309402677</v>
      </c>
    </row>
    <row r="9" spans="1:5" x14ac:dyDescent="0.2">
      <c r="A9" s="3" t="s">
        <v>7</v>
      </c>
      <c r="B9" s="3" t="s">
        <v>29</v>
      </c>
      <c r="C9" s="4">
        <f>'Paso 1.1'!N8</f>
        <v>-315.10000000000002</v>
      </c>
      <c r="D9" s="4">
        <f>SUM('Paso 4'!B8:N8)</f>
        <v>-1425.2273790181266</v>
      </c>
      <c r="E9" s="64">
        <f>'AUX-BU paso 5.2'!G26</f>
        <v>-1568.7053769039451</v>
      </c>
    </row>
    <row r="10" spans="1:5" x14ac:dyDescent="0.2">
      <c r="A10" s="3" t="s">
        <v>8</v>
      </c>
      <c r="B10" s="3" t="s">
        <v>28</v>
      </c>
      <c r="C10" s="4">
        <f>'Paso 1.1'!N9</f>
        <v>-414</v>
      </c>
      <c r="D10" s="4">
        <f>SUM('Paso 4'!B9:N9)</f>
        <v>-537.33470212936516</v>
      </c>
      <c r="E10" s="4">
        <f t="shared" si="0"/>
        <v>-414</v>
      </c>
    </row>
    <row r="11" spans="1:5" x14ac:dyDescent="0.2">
      <c r="A11" s="3" t="s">
        <v>9</v>
      </c>
      <c r="B11" s="3" t="s">
        <v>28</v>
      </c>
      <c r="C11" s="4">
        <f>'Paso 1.1'!N10</f>
        <v>-306.73993375942013</v>
      </c>
      <c r="D11" s="4">
        <f>SUM('Paso 4'!B10:N10)</f>
        <v>-421.42546920077706</v>
      </c>
      <c r="E11" s="4">
        <f t="shared" si="0"/>
        <v>-306.73993375942013</v>
      </c>
    </row>
    <row r="12" spans="1:5" x14ac:dyDescent="0.2">
      <c r="A12" s="3" t="s">
        <v>10</v>
      </c>
      <c r="B12" s="3" t="s">
        <v>28</v>
      </c>
      <c r="C12" s="4">
        <f>'Paso 1.1'!N11</f>
        <v>-115</v>
      </c>
      <c r="D12" s="60">
        <f>SUM('Paso 4'!B11:N11)</f>
        <v>-147.73827678183432</v>
      </c>
      <c r="E12" s="4">
        <f t="shared" si="0"/>
        <v>-115</v>
      </c>
    </row>
    <row r="13" spans="1:5" ht="13.5" thickBot="1" x14ac:dyDescent="0.25">
      <c r="A13" s="5" t="s">
        <v>11</v>
      </c>
      <c r="B13" s="7" t="s">
        <v>28</v>
      </c>
      <c r="C13" s="8">
        <f>'Paso 1.1'!N12</f>
        <v>0</v>
      </c>
      <c r="D13" s="6">
        <f>SUM('Paso 4'!B12:N12)</f>
        <v>-245.97299360645601</v>
      </c>
      <c r="E13" s="66">
        <f>'AUX-PID paso 5.2'!F2</f>
        <v>-344.91083850908069</v>
      </c>
    </row>
    <row r="14" spans="1:5" x14ac:dyDescent="0.2">
      <c r="A14" s="3" t="s">
        <v>12</v>
      </c>
      <c r="C14" s="4">
        <f>'Paso 1.1'!N13</f>
        <v>-1000</v>
      </c>
      <c r="D14" s="4">
        <f>SUM('Paso 4'!B13:N13)</f>
        <v>-21881.353033042244</v>
      </c>
      <c r="E14" s="4">
        <f>D14</f>
        <v>-21881.353033042244</v>
      </c>
    </row>
    <row r="15" spans="1:5" x14ac:dyDescent="0.2">
      <c r="A15" s="3" t="s">
        <v>13</v>
      </c>
      <c r="C15" s="4">
        <f>'Paso 1.1'!N14</f>
        <v>-970</v>
      </c>
      <c r="D15" s="4">
        <f>SUM('Paso 4'!B14:N14)</f>
        <v>0</v>
      </c>
      <c r="E15" s="4">
        <f t="shared" ref="E15:E27" si="1">D15</f>
        <v>0</v>
      </c>
    </row>
    <row r="16" spans="1:5" x14ac:dyDescent="0.2">
      <c r="A16" s="3" t="s">
        <v>14</v>
      </c>
      <c r="C16" s="4">
        <f>'Paso 1.1'!N15</f>
        <v>-187.5</v>
      </c>
      <c r="D16" s="4">
        <f>SUM('Paso 4'!B15:N15)</f>
        <v>-275.8673774703953</v>
      </c>
      <c r="E16" s="4">
        <f t="shared" si="1"/>
        <v>-275.8673774703953</v>
      </c>
    </row>
    <row r="17" spans="1:5" ht="13.5" thickBot="1" x14ac:dyDescent="0.25">
      <c r="A17" s="7" t="s">
        <v>15</v>
      </c>
      <c r="B17" s="7"/>
      <c r="C17" s="8">
        <f>'Paso 1.1'!N16</f>
        <v>-42.5</v>
      </c>
      <c r="D17" s="8">
        <f>SUM('Paso 4'!B16:N16)</f>
        <v>18093.650135477423</v>
      </c>
      <c r="E17" s="8">
        <f t="shared" si="1"/>
        <v>18093.650135477423</v>
      </c>
    </row>
    <row r="18" spans="1:5" x14ac:dyDescent="0.2">
      <c r="A18" s="3" t="s">
        <v>16</v>
      </c>
      <c r="C18" s="4">
        <f>'Paso 1.1'!N17</f>
        <v>-2305</v>
      </c>
      <c r="D18" s="4">
        <f>SUM('Paso 4'!B17:N17)</f>
        <v>-2774.8824246488689</v>
      </c>
      <c r="E18" s="4">
        <f t="shared" si="1"/>
        <v>-2774.8824246488689</v>
      </c>
    </row>
    <row r="19" spans="1:5" x14ac:dyDescent="0.2">
      <c r="A19" s="3" t="s">
        <v>17</v>
      </c>
      <c r="C19" s="4">
        <f>-C18/1.3</f>
        <v>1773.0769230769231</v>
      </c>
      <c r="D19" s="4">
        <f>SUM('Paso 4'!B18:N18)</f>
        <v>0</v>
      </c>
      <c r="E19" s="4">
        <f>C19*'Paso 4'!R24</f>
        <v>2099.3095323437542</v>
      </c>
    </row>
    <row r="20" spans="1:5" x14ac:dyDescent="0.2">
      <c r="A20" s="3" t="s">
        <v>18</v>
      </c>
      <c r="C20" s="4">
        <f>'Paso 1.1'!N19</f>
        <v>285</v>
      </c>
      <c r="D20" s="4">
        <f>SUM('Paso 4'!B19:N19)</f>
        <v>339.81881484125131</v>
      </c>
      <c r="E20" s="4">
        <f t="shared" si="1"/>
        <v>339.81881484125131</v>
      </c>
    </row>
    <row r="21" spans="1:5" x14ac:dyDescent="0.2">
      <c r="A21" s="3" t="s">
        <v>19</v>
      </c>
      <c r="C21" s="4">
        <f>'Paso 1.1'!N20</f>
        <v>95.8</v>
      </c>
      <c r="D21" s="4">
        <f>SUM('Paso 4'!B20:N20)</f>
        <v>118.2543208024056</v>
      </c>
      <c r="E21" s="4">
        <f t="shared" si="1"/>
        <v>118.2543208024056</v>
      </c>
    </row>
    <row r="22" spans="1:5" x14ac:dyDescent="0.2">
      <c r="A22" s="3" t="s">
        <v>20</v>
      </c>
      <c r="C22" s="4">
        <f>'Paso 1.1'!N21</f>
        <v>-313</v>
      </c>
      <c r="D22" s="4">
        <f>SUM('Paso 4'!B21:N21)</f>
        <v>-398.24430964170449</v>
      </c>
      <c r="E22" s="4">
        <f t="shared" si="1"/>
        <v>-398.24430964170449</v>
      </c>
    </row>
    <row r="23" spans="1:5" x14ac:dyDescent="0.2">
      <c r="A23" s="3" t="s">
        <v>21</v>
      </c>
      <c r="C23" s="4">
        <v>-188</v>
      </c>
      <c r="D23" s="4">
        <f>SUM('Paso 4'!B22:N22)</f>
        <v>0</v>
      </c>
      <c r="E23" s="4">
        <f>E32</f>
        <v>135.7849024308735</v>
      </c>
    </row>
    <row r="24" spans="1:5" x14ac:dyDescent="0.2">
      <c r="A24" s="3" t="s">
        <v>22</v>
      </c>
      <c r="C24" s="4">
        <f>'Paso 1.1'!N23</f>
        <v>137.03473578021385</v>
      </c>
      <c r="D24" s="4">
        <f>SUM('Paso 4'!B23:N23)</f>
        <v>161.40450343129402</v>
      </c>
      <c r="E24" s="4">
        <f t="shared" si="1"/>
        <v>161.40450343129402</v>
      </c>
    </row>
    <row r="25" spans="1:5" x14ac:dyDescent="0.2">
      <c r="A25" s="3" t="s">
        <v>23</v>
      </c>
      <c r="C25" s="4">
        <f>'Paso 1.1'!N24</f>
        <v>115</v>
      </c>
      <c r="D25" s="60">
        <f>SUM('Paso 4'!B24:N24)</f>
        <v>136.15912151210031</v>
      </c>
      <c r="E25" s="4">
        <f t="shared" si="1"/>
        <v>136.15912151210031</v>
      </c>
    </row>
    <row r="26" spans="1:5" x14ac:dyDescent="0.2">
      <c r="A26" s="3" t="s">
        <v>25</v>
      </c>
      <c r="C26" s="4">
        <f>'Paso 1.1'!N25</f>
        <v>0</v>
      </c>
      <c r="D26" s="4">
        <f>SUM('Paso 4'!B25:N25)</f>
        <v>0</v>
      </c>
      <c r="E26" s="4">
        <f t="shared" si="1"/>
        <v>0</v>
      </c>
    </row>
    <row r="27" spans="1:5" x14ac:dyDescent="0.2">
      <c r="A27" s="3" t="s">
        <v>26</v>
      </c>
      <c r="C27" s="4">
        <f>'Paso 1.1'!N26</f>
        <v>0</v>
      </c>
      <c r="D27" s="4">
        <f>SUM('Paso 4'!B26:N26)</f>
        <v>0</v>
      </c>
      <c r="E27" s="4">
        <f t="shared" si="1"/>
        <v>0</v>
      </c>
    </row>
    <row r="28" spans="1:5" x14ac:dyDescent="0.2">
      <c r="A28" s="9" t="s">
        <v>24</v>
      </c>
      <c r="B28" s="9"/>
      <c r="C28" s="10">
        <f t="shared" ref="C28:E28" si="2">ROUND(SUM(C3:C25),0)</f>
        <v>0</v>
      </c>
      <c r="D28" s="10">
        <f t="shared" si="2"/>
        <v>0</v>
      </c>
      <c r="E28" s="61">
        <f t="shared" si="2"/>
        <v>-611</v>
      </c>
    </row>
    <row r="30" spans="1:5" x14ac:dyDescent="0.2">
      <c r="A30" s="3" t="s">
        <v>70</v>
      </c>
      <c r="C30" s="4"/>
      <c r="E30" s="4">
        <f>'Paso 4'!B5</f>
        <v>243.61522361365309</v>
      </c>
    </row>
    <row r="31" spans="1:5" x14ac:dyDescent="0.2">
      <c r="A31" s="3" t="s">
        <v>5</v>
      </c>
      <c r="E31" s="4">
        <f>D7</f>
        <v>1889.9094062992276</v>
      </c>
    </row>
    <row r="32" spans="1:5" x14ac:dyDescent="0.2">
      <c r="A32" s="3" t="s">
        <v>21</v>
      </c>
      <c r="E32" s="4">
        <f>E34-E33-E31-E30</f>
        <v>135.7849024308735</v>
      </c>
    </row>
    <row r="33" spans="1:5" x14ac:dyDescent="0.2">
      <c r="A33" s="3" t="s">
        <v>71</v>
      </c>
      <c r="E33" s="4">
        <f>-E6</f>
        <v>-170</v>
      </c>
    </row>
    <row r="34" spans="1:5" x14ac:dyDescent="0.2">
      <c r="A34" s="3" t="s">
        <v>17</v>
      </c>
      <c r="E34" s="4">
        <f>E19</f>
        <v>2099.3095323437542</v>
      </c>
    </row>
  </sheetData>
  <conditionalFormatting sqref="E3">
    <cfRule type="containsBlanks" dxfId="3" priority="2">
      <formula>LEN(TRIM(E3))=0</formula>
    </cfRule>
  </conditionalFormatting>
  <conditionalFormatting sqref="E4:E13">
    <cfRule type="containsBlanks" dxfId="2" priority="1">
      <formula>LEN(TRIM(E4))=0</formula>
    </cfRule>
  </conditionalFormatting>
  <pageMargins left="0.7" right="0.7" top="0.75" bottom="0.75" header="0.3" footer="0.3"/>
  <pageSetup orientation="portrait" r:id="rId1"/>
  <ignoredErrors>
    <ignoredError sqref="E8 E19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>
      <selection activeCell="B12" sqref="B12"/>
    </sheetView>
  </sheetViews>
  <sheetFormatPr baseColWidth="10" defaultRowHeight="15" x14ac:dyDescent="0.25"/>
  <cols>
    <col min="1" max="1" width="94.28515625" style="72" bestFit="1" customWidth="1"/>
    <col min="2" max="2" width="11.42578125" style="72"/>
    <col min="3" max="4" width="11.42578125" style="73"/>
    <col min="5" max="16384" width="11.42578125" style="72"/>
  </cols>
  <sheetData>
    <row r="1" spans="1:13" x14ac:dyDescent="0.25">
      <c r="A1" s="106" t="s">
        <v>82</v>
      </c>
      <c r="B1" s="107"/>
      <c r="C1" s="143"/>
      <c r="D1" s="143"/>
      <c r="E1" s="144"/>
    </row>
    <row r="2" spans="1:13" x14ac:dyDescent="0.25">
      <c r="A2" s="110" t="s">
        <v>83</v>
      </c>
      <c r="B2" s="111"/>
      <c r="C2" s="128"/>
      <c r="D2" s="128"/>
      <c r="E2" s="145"/>
    </row>
    <row r="3" spans="1:13" x14ac:dyDescent="0.25">
      <c r="A3" s="110"/>
      <c r="B3" s="115"/>
      <c r="C3" s="128"/>
      <c r="D3" s="128"/>
      <c r="E3" s="145"/>
    </row>
    <row r="4" spans="1:13" x14ac:dyDescent="0.25">
      <c r="A4" s="110" t="s">
        <v>84</v>
      </c>
      <c r="B4" s="111"/>
      <c r="C4" s="128"/>
      <c r="D4" s="128"/>
      <c r="E4" s="145"/>
    </row>
    <row r="5" spans="1:13" x14ac:dyDescent="0.25">
      <c r="A5" s="110" t="s">
        <v>85</v>
      </c>
      <c r="B5" s="111"/>
      <c r="C5" s="128"/>
      <c r="D5" s="128"/>
      <c r="E5" s="145"/>
    </row>
    <row r="6" spans="1:13" x14ac:dyDescent="0.25">
      <c r="A6" s="110" t="s">
        <v>86</v>
      </c>
      <c r="B6" s="111"/>
      <c r="C6" s="128"/>
      <c r="D6" s="128"/>
      <c r="E6" s="145"/>
    </row>
    <row r="7" spans="1:13" ht="15.75" thickBot="1" x14ac:dyDescent="0.3">
      <c r="A7" s="110"/>
      <c r="B7" s="111"/>
      <c r="C7" s="128"/>
      <c r="D7" s="128"/>
      <c r="E7" s="145"/>
    </row>
    <row r="8" spans="1:13" x14ac:dyDescent="0.25">
      <c r="A8" s="110" t="s">
        <v>87</v>
      </c>
      <c r="B8" s="111"/>
      <c r="C8" s="115">
        <v>43830</v>
      </c>
      <c r="D8" s="115">
        <v>43830</v>
      </c>
      <c r="E8" s="145"/>
      <c r="G8" s="84"/>
      <c r="H8" s="85" t="s">
        <v>98</v>
      </c>
      <c r="I8" s="86">
        <v>4.5833333333333615E-2</v>
      </c>
      <c r="J8" s="87" t="s">
        <v>67</v>
      </c>
      <c r="K8" s="87" t="s">
        <v>99</v>
      </c>
      <c r="L8" s="87" t="s">
        <v>100</v>
      </c>
      <c r="M8" s="88" t="s">
        <v>101</v>
      </c>
    </row>
    <row r="9" spans="1:13" ht="15.75" thickBot="1" x14ac:dyDescent="0.3">
      <c r="A9" s="110" t="s">
        <v>88</v>
      </c>
      <c r="B9" s="117" t="s">
        <v>112</v>
      </c>
      <c r="C9" s="74">
        <v>2018</v>
      </c>
      <c r="D9" s="74">
        <v>2017</v>
      </c>
      <c r="E9" s="145"/>
      <c r="G9" s="77">
        <v>0</v>
      </c>
      <c r="H9" s="78"/>
      <c r="I9" s="79">
        <v>-350</v>
      </c>
      <c r="J9" s="79"/>
      <c r="K9" s="79"/>
      <c r="L9" s="79"/>
      <c r="M9" s="89">
        <v>350</v>
      </c>
    </row>
    <row r="10" spans="1:13" x14ac:dyDescent="0.25">
      <c r="A10" s="114" t="s">
        <v>89</v>
      </c>
      <c r="B10" s="112"/>
      <c r="C10" s="101">
        <f>Saldos_base_presentac!C3+Saldos_base_presentac!C4</f>
        <v>1831.0051979792067</v>
      </c>
      <c r="D10" s="101">
        <f>Saldos_base_presentac!D3+Saldos_base_presentac!D4</f>
        <v>2823.4266188872048</v>
      </c>
      <c r="E10" s="145"/>
      <c r="G10" s="77">
        <v>1</v>
      </c>
      <c r="H10" s="80">
        <v>43191</v>
      </c>
      <c r="I10" s="79">
        <v>20.032755780088188</v>
      </c>
      <c r="J10" s="79">
        <v>350</v>
      </c>
      <c r="K10" s="79">
        <v>16.041666666666764</v>
      </c>
      <c r="L10" s="79">
        <v>-20.032755780088188</v>
      </c>
      <c r="M10" s="89">
        <v>346.00891088657858</v>
      </c>
    </row>
    <row r="11" spans="1:13" x14ac:dyDescent="0.25">
      <c r="A11" s="114" t="s">
        <v>3</v>
      </c>
      <c r="B11" s="112"/>
      <c r="C11" s="101">
        <f>Saldos_base_presentac!C5</f>
        <v>257</v>
      </c>
      <c r="D11" s="101">
        <f>Saldos_base_presentac!D5</f>
        <v>349.92004846324716</v>
      </c>
      <c r="E11" s="145"/>
      <c r="G11" s="77">
        <v>2</v>
      </c>
      <c r="H11" s="80">
        <v>43221</v>
      </c>
      <c r="I11" s="79">
        <v>20.032755780088184</v>
      </c>
      <c r="J11" s="79">
        <v>346.00891088657858</v>
      </c>
      <c r="K11" s="79">
        <v>15.858741748968281</v>
      </c>
      <c r="L11" s="79">
        <v>-20.032755780088184</v>
      </c>
      <c r="M11" s="89">
        <v>341.83489685545868</v>
      </c>
    </row>
    <row r="12" spans="1:13" ht="15.75" thickBot="1" x14ac:dyDescent="0.3">
      <c r="A12" s="114" t="s">
        <v>4</v>
      </c>
      <c r="B12" s="112"/>
      <c r="C12" s="76">
        <f>Saldos_base_presentac!C6</f>
        <v>169.99999999999994</v>
      </c>
      <c r="D12" s="76">
        <f>Saldos_base_presentac!D6</f>
        <v>243.61522361365309</v>
      </c>
      <c r="E12" s="145"/>
      <c r="G12" s="77">
        <v>3</v>
      </c>
      <c r="H12" s="80">
        <v>43252</v>
      </c>
      <c r="I12" s="79">
        <v>20.032755780088188</v>
      </c>
      <c r="J12" s="79">
        <v>341.83489685545868</v>
      </c>
      <c r="K12" s="79">
        <v>15.667432772541952</v>
      </c>
      <c r="L12" s="79">
        <v>-20.032755780088188</v>
      </c>
      <c r="M12" s="89">
        <v>337.46957384791244</v>
      </c>
    </row>
    <row r="13" spans="1:13" x14ac:dyDescent="0.25">
      <c r="A13" s="110" t="s">
        <v>90</v>
      </c>
      <c r="B13" s="111"/>
      <c r="C13" s="128">
        <f>SUM(C10:C12)</f>
        <v>2258.005197979207</v>
      </c>
      <c r="D13" s="128">
        <f>SUM(D10:D12)</f>
        <v>3416.9618909641049</v>
      </c>
      <c r="E13" s="145"/>
      <c r="G13" s="77">
        <v>4</v>
      </c>
      <c r="H13" s="80">
        <v>43282</v>
      </c>
      <c r="I13" s="79">
        <v>20.032755780088184</v>
      </c>
      <c r="J13" s="79">
        <v>337.46957384791244</v>
      </c>
      <c r="K13" s="79">
        <v>15.467355468029416</v>
      </c>
      <c r="L13" s="79">
        <v>-20.032755780088184</v>
      </c>
      <c r="M13" s="89">
        <v>332.90417353585372</v>
      </c>
    </row>
    <row r="14" spans="1:13" x14ac:dyDescent="0.25">
      <c r="A14" s="114"/>
      <c r="B14" s="112"/>
      <c r="C14" s="101"/>
      <c r="D14" s="101"/>
      <c r="E14" s="145"/>
      <c r="G14" s="77">
        <v>5</v>
      </c>
      <c r="H14" s="80">
        <v>43313</v>
      </c>
      <c r="I14" s="79">
        <v>20.032755780088184</v>
      </c>
      <c r="J14" s="79">
        <v>332.90417353585372</v>
      </c>
      <c r="K14" s="79">
        <v>15.258107953726721</v>
      </c>
      <c r="L14" s="79">
        <v>-20.032755780088184</v>
      </c>
      <c r="M14" s="89">
        <v>328.12952570949227</v>
      </c>
    </row>
    <row r="15" spans="1:13" x14ac:dyDescent="0.25">
      <c r="A15" s="110" t="s">
        <v>91</v>
      </c>
      <c r="B15" s="112"/>
      <c r="C15" s="101"/>
      <c r="D15" s="101"/>
      <c r="E15" s="145"/>
      <c r="G15" s="77">
        <v>6</v>
      </c>
      <c r="H15" s="80">
        <v>43344</v>
      </c>
      <c r="I15" s="79">
        <v>20.032755780088184</v>
      </c>
      <c r="J15" s="79">
        <v>328.12952570949227</v>
      </c>
      <c r="K15" s="79">
        <v>15.039269928351821</v>
      </c>
      <c r="L15" s="79">
        <v>-20.032755780088184</v>
      </c>
      <c r="M15" s="89">
        <v>323.13603985775592</v>
      </c>
    </row>
    <row r="16" spans="1:13" ht="15.75" thickBot="1" x14ac:dyDescent="0.3">
      <c r="A16" s="114" t="s">
        <v>92</v>
      </c>
      <c r="B16" s="112"/>
      <c r="C16" s="76">
        <f>Saldos_base_presentac!C8+Saldos_base_presentac!C9</f>
        <v>2557.5433540363229</v>
      </c>
      <c r="D16" s="76">
        <f>Saldos_base_presentac!D8+Saldos_base_presentac!D9</f>
        <v>2347.6942898920747</v>
      </c>
      <c r="E16" s="145"/>
      <c r="G16" s="77">
        <v>7</v>
      </c>
      <c r="H16" s="80">
        <v>43374</v>
      </c>
      <c r="I16" s="79">
        <v>20.032755780088188</v>
      </c>
      <c r="J16" s="79">
        <v>323.13603985775592</v>
      </c>
      <c r="K16" s="79">
        <v>14.810401826813903</v>
      </c>
      <c r="L16" s="79">
        <v>-20.032755780088188</v>
      </c>
      <c r="M16" s="89">
        <v>317.91368590448167</v>
      </c>
    </row>
    <row r="17" spans="1:19" x14ac:dyDescent="0.25">
      <c r="A17" s="110" t="s">
        <v>93</v>
      </c>
      <c r="B17" s="111"/>
      <c r="C17" s="128">
        <f>C16</f>
        <v>2557.5433540363229</v>
      </c>
      <c r="D17" s="128">
        <f>D16</f>
        <v>2347.6942898920747</v>
      </c>
      <c r="E17" s="145"/>
      <c r="G17" s="77">
        <v>8</v>
      </c>
      <c r="H17" s="80">
        <v>43405</v>
      </c>
      <c r="I17" s="79">
        <v>20.032755780088184</v>
      </c>
      <c r="J17" s="79">
        <v>317.91368590448167</v>
      </c>
      <c r="K17" s="79">
        <v>14.571043937288833</v>
      </c>
      <c r="L17" s="79">
        <v>-20.032755780088184</v>
      </c>
      <c r="M17" s="89">
        <v>312.45197406168234</v>
      </c>
      <c r="O17" s="72" t="s">
        <v>102</v>
      </c>
      <c r="P17" s="72" t="s">
        <v>103</v>
      </c>
    </row>
    <row r="18" spans="1:19" x14ac:dyDescent="0.25">
      <c r="A18" s="114"/>
      <c r="B18" s="112"/>
      <c r="C18" s="101"/>
      <c r="D18" s="101"/>
      <c r="E18" s="145"/>
      <c r="G18" s="81">
        <v>9</v>
      </c>
      <c r="H18" s="82">
        <v>43435</v>
      </c>
      <c r="I18" s="83">
        <v>20.032755780088188</v>
      </c>
      <c r="J18" s="83">
        <v>312.45197406168234</v>
      </c>
      <c r="K18" s="83">
        <v>14.320715477827195</v>
      </c>
      <c r="L18" s="83">
        <v>-20.032755780088188</v>
      </c>
      <c r="M18" s="90">
        <v>306.73993375942138</v>
      </c>
      <c r="O18" s="97">
        <f>SUM(O19:O45)</f>
        <v>181.80259610176057</v>
      </c>
      <c r="P18" s="97">
        <f>SUM(P19:P45)</f>
        <v>124.93733765765886</v>
      </c>
      <c r="Q18" s="96">
        <f>O18+P18</f>
        <v>306.73993375941944</v>
      </c>
      <c r="R18" s="96">
        <f>Q18/27*12</f>
        <v>136.32885944863085</v>
      </c>
      <c r="S18" s="96">
        <f>Q18/27*(27-12)</f>
        <v>170.41107431078856</v>
      </c>
    </row>
    <row r="19" spans="1:19" x14ac:dyDescent="0.25">
      <c r="A19" s="122" t="s">
        <v>94</v>
      </c>
      <c r="B19" s="123"/>
      <c r="C19" s="124">
        <f>C13+C17</f>
        <v>4815.5485520155298</v>
      </c>
      <c r="D19" s="124">
        <f>D13+D17</f>
        <v>5764.6561808561801</v>
      </c>
      <c r="E19" s="145"/>
      <c r="G19" s="77">
        <v>10</v>
      </c>
      <c r="H19" s="80">
        <v>43466</v>
      </c>
      <c r="I19" s="79">
        <v>20.032755780088188</v>
      </c>
      <c r="J19" s="79">
        <v>306.73993375942138</v>
      </c>
      <c r="K19" s="79">
        <v>14.058913630640232</v>
      </c>
      <c r="L19" s="79">
        <v>-20.032755780088188</v>
      </c>
      <c r="M19" s="89">
        <v>300.76609160997344</v>
      </c>
      <c r="N19" s="72">
        <v>1</v>
      </c>
      <c r="O19" s="95">
        <f>I19/((1+$I$8)^N19)</f>
        <v>19.154826243909017</v>
      </c>
    </row>
    <row r="20" spans="1:19" x14ac:dyDescent="0.25">
      <c r="A20" s="114"/>
      <c r="B20" s="112"/>
      <c r="C20" s="101"/>
      <c r="D20" s="101"/>
      <c r="E20" s="145"/>
      <c r="G20" s="77">
        <v>11</v>
      </c>
      <c r="H20" s="80">
        <v>43497</v>
      </c>
      <c r="I20" s="79">
        <v>20.032755780088184</v>
      </c>
      <c r="J20" s="79">
        <v>300.76609160997344</v>
      </c>
      <c r="K20" s="79">
        <v>13.785112532123867</v>
      </c>
      <c r="L20" s="79">
        <v>-20.032755780088184</v>
      </c>
      <c r="M20" s="89">
        <v>294.51844836200917</v>
      </c>
      <c r="N20" s="72">
        <v>2</v>
      </c>
      <c r="O20" s="95">
        <f t="shared" ref="O20:O30" si="0">I20/((1+$I$8)^N20)</f>
        <v>18.315371707323358</v>
      </c>
    </row>
    <row r="21" spans="1:19" x14ac:dyDescent="0.25">
      <c r="A21" s="110" t="s">
        <v>95</v>
      </c>
      <c r="B21" s="112"/>
      <c r="C21" s="101"/>
      <c r="D21" s="101"/>
      <c r="E21" s="145"/>
      <c r="G21" s="77">
        <v>12</v>
      </c>
      <c r="H21" s="80">
        <v>43525</v>
      </c>
      <c r="I21" s="79">
        <v>20.032755780088184</v>
      </c>
      <c r="J21" s="79">
        <v>294.51844836200917</v>
      </c>
      <c r="K21" s="79">
        <v>13.498762216592169</v>
      </c>
      <c r="L21" s="79">
        <v>-20.032755780088184</v>
      </c>
      <c r="M21" s="89">
        <v>287.98445479851318</v>
      </c>
      <c r="N21" s="72">
        <v>3</v>
      </c>
      <c r="O21" s="95">
        <f t="shared" si="0"/>
        <v>17.512706014970536</v>
      </c>
    </row>
    <row r="22" spans="1:19" x14ac:dyDescent="0.25">
      <c r="A22" s="110" t="s">
        <v>96</v>
      </c>
      <c r="B22" s="112"/>
      <c r="C22" s="101"/>
      <c r="D22" s="101"/>
      <c r="E22" s="145"/>
      <c r="G22" s="77">
        <v>13</v>
      </c>
      <c r="H22" s="80">
        <v>43556</v>
      </c>
      <c r="I22" s="79">
        <v>20.032755780088188</v>
      </c>
      <c r="J22" s="79">
        <v>287.98445479851318</v>
      </c>
      <c r="K22" s="79">
        <v>13.199287511598602</v>
      </c>
      <c r="L22" s="79">
        <v>-20.032755780088188</v>
      </c>
      <c r="M22" s="89">
        <v>281.1509865300236</v>
      </c>
      <c r="N22" s="72">
        <v>4</v>
      </c>
      <c r="O22" s="95">
        <f t="shared" si="0"/>
        <v>16.745216906744737</v>
      </c>
    </row>
    <row r="23" spans="1:19" x14ac:dyDescent="0.25">
      <c r="A23" s="114" t="s">
        <v>97</v>
      </c>
      <c r="B23" s="112"/>
      <c r="C23" s="101">
        <f>-Saldos_base_presentac!C10</f>
        <v>414</v>
      </c>
      <c r="D23" s="101">
        <f>-Saldos_base_presentac!D10</f>
        <v>537.42994785072551</v>
      </c>
      <c r="E23" s="145"/>
      <c r="G23" s="77">
        <v>14</v>
      </c>
      <c r="H23" s="80">
        <v>43586</v>
      </c>
      <c r="I23" s="79">
        <v>20.032755780088188</v>
      </c>
      <c r="J23" s="79">
        <v>281.1509865300236</v>
      </c>
      <c r="K23" s="79">
        <v>12.886086882626161</v>
      </c>
      <c r="L23" s="79">
        <v>-20.032755780088188</v>
      </c>
      <c r="M23" s="89">
        <v>274.00431763256159</v>
      </c>
      <c r="N23" s="72">
        <v>5</v>
      </c>
      <c r="O23" s="95">
        <f t="shared" si="0"/>
        <v>16.011362779357512</v>
      </c>
    </row>
    <row r="24" spans="1:19" x14ac:dyDescent="0.25">
      <c r="A24" s="114" t="s">
        <v>107</v>
      </c>
      <c r="B24" s="111"/>
      <c r="C24" s="101">
        <f>-Saldos_base_presentac!C12</f>
        <v>115</v>
      </c>
      <c r="D24" s="101">
        <v>0</v>
      </c>
      <c r="E24" s="145"/>
      <c r="G24" s="77">
        <v>15</v>
      </c>
      <c r="H24" s="80">
        <v>43617</v>
      </c>
      <c r="I24" s="79">
        <v>20.032755780088188</v>
      </c>
      <c r="J24" s="79">
        <v>274.00431763256159</v>
      </c>
      <c r="K24" s="79">
        <v>12.558531224825817</v>
      </c>
      <c r="L24" s="79">
        <v>-20.032755780088188</v>
      </c>
      <c r="M24" s="89">
        <v>266.53009307729923</v>
      </c>
      <c r="N24" s="72">
        <v>6</v>
      </c>
      <c r="O24" s="95">
        <f t="shared" si="0"/>
        <v>15.309669589823914</v>
      </c>
    </row>
    <row r="25" spans="1:19" ht="15.75" thickBot="1" x14ac:dyDescent="0.3">
      <c r="A25" s="114" t="s">
        <v>104</v>
      </c>
      <c r="B25" s="111"/>
      <c r="C25" s="76">
        <f>O18</f>
        <v>181.80259610176057</v>
      </c>
      <c r="D25" s="76">
        <f>-Saldos_base_presentac!D12</f>
        <v>109.25773665097168</v>
      </c>
      <c r="E25" s="145"/>
      <c r="G25" s="77">
        <v>16</v>
      </c>
      <c r="H25" s="80">
        <v>43647</v>
      </c>
      <c r="I25" s="79">
        <v>20.032755780088184</v>
      </c>
      <c r="J25" s="79">
        <v>266.53009307729923</v>
      </c>
      <c r="K25" s="79">
        <v>12.21596259937629</v>
      </c>
      <c r="L25" s="79">
        <v>-20.032755780088184</v>
      </c>
      <c r="M25" s="89">
        <v>258.71329989658733</v>
      </c>
      <c r="N25" s="72">
        <v>7</v>
      </c>
      <c r="O25" s="95">
        <f t="shared" si="0"/>
        <v>14.638727894652343</v>
      </c>
    </row>
    <row r="26" spans="1:19" x14ac:dyDescent="0.25">
      <c r="A26" s="110" t="s">
        <v>105</v>
      </c>
      <c r="B26" s="111"/>
      <c r="C26" s="128">
        <f>SUM(C23:C25)</f>
        <v>710.80259610176063</v>
      </c>
      <c r="D26" s="128">
        <f>SUM(D23:D25)</f>
        <v>646.68768450169716</v>
      </c>
      <c r="E26" s="145"/>
      <c r="G26" s="77">
        <v>17</v>
      </c>
      <c r="H26" s="80">
        <v>43678</v>
      </c>
      <c r="I26" s="79">
        <v>20.032755780088188</v>
      </c>
      <c r="J26" s="79">
        <v>258.71329989658733</v>
      </c>
      <c r="K26" s="79">
        <v>11.857692911926993</v>
      </c>
      <c r="L26" s="79">
        <v>-20.032755780088188</v>
      </c>
      <c r="M26" s="89">
        <v>250.53823702842615</v>
      </c>
      <c r="N26" s="72">
        <v>8</v>
      </c>
      <c r="O26" s="95">
        <f t="shared" si="0"/>
        <v>13.997190018791084</v>
      </c>
    </row>
    <row r="27" spans="1:19" x14ac:dyDescent="0.25">
      <c r="A27" s="110"/>
      <c r="B27" s="111"/>
      <c r="C27" s="128"/>
      <c r="D27" s="128"/>
      <c r="E27" s="145"/>
      <c r="G27" s="77">
        <v>18</v>
      </c>
      <c r="H27" s="80">
        <v>43709</v>
      </c>
      <c r="I27" s="79">
        <v>20.032755780088184</v>
      </c>
      <c r="J27" s="79">
        <v>250.53823702842615</v>
      </c>
      <c r="K27" s="79">
        <v>11.483002530469603</v>
      </c>
      <c r="L27" s="79">
        <v>-20.032755780088184</v>
      </c>
      <c r="M27" s="89">
        <v>241.98848377880753</v>
      </c>
      <c r="N27" s="72">
        <v>9</v>
      </c>
      <c r="O27" s="95">
        <f t="shared" si="0"/>
        <v>13.383767348644854</v>
      </c>
    </row>
    <row r="28" spans="1:19" x14ac:dyDescent="0.25">
      <c r="A28" s="110" t="s">
        <v>106</v>
      </c>
      <c r="B28" s="111"/>
      <c r="C28" s="128"/>
      <c r="D28" s="128"/>
      <c r="E28" s="145"/>
      <c r="G28" s="77">
        <v>19</v>
      </c>
      <c r="H28" s="80">
        <v>43739</v>
      </c>
      <c r="I28" s="79">
        <v>20.032755780088184</v>
      </c>
      <c r="J28" s="79">
        <v>241.98848377880753</v>
      </c>
      <c r="K28" s="79">
        <v>11.091138839862079</v>
      </c>
      <c r="L28" s="79">
        <v>-20.032755780088184</v>
      </c>
      <c r="M28" s="89">
        <v>233.04686683858142</v>
      </c>
      <c r="N28" s="72">
        <v>10</v>
      </c>
      <c r="O28" s="95">
        <f t="shared" si="0"/>
        <v>12.797227743724163</v>
      </c>
    </row>
    <row r="29" spans="1:19" x14ac:dyDescent="0.25">
      <c r="A29" s="114" t="s">
        <v>104</v>
      </c>
      <c r="B29" s="111"/>
      <c r="C29" s="101">
        <f>P18</f>
        <v>124.93733765765886</v>
      </c>
      <c r="D29" s="101">
        <v>0</v>
      </c>
      <c r="E29" s="145"/>
      <c r="G29" s="77">
        <v>20</v>
      </c>
      <c r="H29" s="80">
        <v>43770</v>
      </c>
      <c r="I29" s="79">
        <v>20.032755780088188</v>
      </c>
      <c r="J29" s="79">
        <v>233.04686683858142</v>
      </c>
      <c r="K29" s="79">
        <v>10.681314730101715</v>
      </c>
      <c r="L29" s="79">
        <v>-20.032755780088188</v>
      </c>
      <c r="M29" s="89">
        <v>223.69542578859495</v>
      </c>
      <c r="N29" s="72">
        <v>11</v>
      </c>
      <c r="O29" s="95">
        <f t="shared" si="0"/>
        <v>12.236393061728283</v>
      </c>
    </row>
    <row r="30" spans="1:19" ht="15.75" thickBot="1" x14ac:dyDescent="0.3">
      <c r="A30" s="114" t="s">
        <v>11</v>
      </c>
      <c r="B30" s="111"/>
      <c r="C30" s="76">
        <f>-Saldos_base_presentac!C13</f>
        <v>344.91083850908069</v>
      </c>
      <c r="D30" s="76">
        <f>-Saldos_base_presentac!D13</f>
        <v>245.97299360645601</v>
      </c>
      <c r="E30" s="145"/>
      <c r="G30" s="77">
        <v>21</v>
      </c>
      <c r="H30" s="80">
        <v>43800</v>
      </c>
      <c r="I30" s="79">
        <v>20.032755780088188</v>
      </c>
      <c r="J30" s="79">
        <v>223.69542578859495</v>
      </c>
      <c r="K30" s="79">
        <v>10.252707015310664</v>
      </c>
      <c r="L30" s="79">
        <v>-20.032755780088188</v>
      </c>
      <c r="M30" s="89">
        <v>213.91537702381743</v>
      </c>
      <c r="N30" s="72">
        <v>12</v>
      </c>
      <c r="O30" s="95">
        <f t="shared" si="0"/>
        <v>11.700136792090785</v>
      </c>
    </row>
    <row r="31" spans="1:19" x14ac:dyDescent="0.25">
      <c r="A31" s="110" t="s">
        <v>108</v>
      </c>
      <c r="B31" s="111"/>
      <c r="C31" s="128">
        <f>SUM(C29:C30)</f>
        <v>469.84817616673956</v>
      </c>
      <c r="D31" s="128">
        <f>SUM(D29:D30)</f>
        <v>245.97299360645601</v>
      </c>
      <c r="E31" s="145"/>
      <c r="G31" s="77">
        <v>22</v>
      </c>
      <c r="H31" s="80">
        <v>43831</v>
      </c>
      <c r="I31" s="79">
        <v>20.032755780088188</v>
      </c>
      <c r="J31" s="79">
        <v>213.91537702381743</v>
      </c>
      <c r="K31" s="79">
        <v>9.804454780258359</v>
      </c>
      <c r="L31" s="79">
        <v>-20.032755780088188</v>
      </c>
      <c r="M31" s="89">
        <v>203.6870760239876</v>
      </c>
      <c r="N31" s="72">
        <v>13</v>
      </c>
      <c r="P31" s="95">
        <f>I31/((1+$I$8)^N31)</f>
        <v>11.187381793234215</v>
      </c>
    </row>
    <row r="32" spans="1:19" x14ac:dyDescent="0.25">
      <c r="A32" s="110"/>
      <c r="B32" s="111"/>
      <c r="C32" s="128"/>
      <c r="D32" s="128"/>
      <c r="E32" s="145"/>
      <c r="G32" s="77">
        <v>23</v>
      </c>
      <c r="H32" s="80">
        <v>43862</v>
      </c>
      <c r="I32" s="79">
        <v>20.032755780088188</v>
      </c>
      <c r="J32" s="79">
        <v>203.6870760239876</v>
      </c>
      <c r="K32" s="79">
        <v>9.3356576510994884</v>
      </c>
      <c r="L32" s="79">
        <v>-20.032755780088188</v>
      </c>
      <c r="M32" s="89">
        <v>192.9899778949989</v>
      </c>
      <c r="N32" s="72">
        <v>14</v>
      </c>
      <c r="P32" s="95">
        <f t="shared" ref="P32:P45" si="1">I32/((1+$I$8)^N32)</f>
        <v>10.697098128988888</v>
      </c>
    </row>
    <row r="33" spans="1:16" x14ac:dyDescent="0.25">
      <c r="A33" s="110" t="s">
        <v>109</v>
      </c>
      <c r="B33" s="111"/>
      <c r="C33" s="128">
        <f>C26+C31</f>
        <v>1180.6507722685001</v>
      </c>
      <c r="D33" s="128">
        <f>D26+D31</f>
        <v>892.66067810815321</v>
      </c>
      <c r="E33" s="145"/>
      <c r="G33" s="77">
        <v>24</v>
      </c>
      <c r="H33" s="80">
        <v>43891</v>
      </c>
      <c r="I33" s="79">
        <v>20.032755780088188</v>
      </c>
      <c r="J33" s="79">
        <v>192.9899778949989</v>
      </c>
      <c r="K33" s="79">
        <v>8.8453739868541703</v>
      </c>
      <c r="L33" s="79">
        <v>-20.032755780088188</v>
      </c>
      <c r="M33" s="89">
        <v>181.80259610176486</v>
      </c>
      <c r="N33" s="72">
        <v>15</v>
      </c>
      <c r="P33" s="95">
        <f t="shared" si="1"/>
        <v>10.22830099983001</v>
      </c>
    </row>
    <row r="34" spans="1:16" x14ac:dyDescent="0.25">
      <c r="A34" s="110"/>
      <c r="B34" s="111"/>
      <c r="C34" s="128"/>
      <c r="D34" s="128"/>
      <c r="E34" s="145"/>
      <c r="G34" s="77">
        <v>25</v>
      </c>
      <c r="H34" s="80">
        <v>43922</v>
      </c>
      <c r="I34" s="79">
        <v>20.032755780088184</v>
      </c>
      <c r="J34" s="79">
        <v>181.80259610176486</v>
      </c>
      <c r="K34" s="79">
        <v>8.3326189879976074</v>
      </c>
      <c r="L34" s="79">
        <v>-20.032755780088184</v>
      </c>
      <c r="M34" s="89">
        <v>170.10245930967429</v>
      </c>
      <c r="N34" s="72">
        <v>16</v>
      </c>
      <c r="P34" s="95">
        <f t="shared" si="1"/>
        <v>9.7800487647776961</v>
      </c>
    </row>
    <row r="35" spans="1:16" x14ac:dyDescent="0.25">
      <c r="A35" s="110" t="s">
        <v>110</v>
      </c>
      <c r="B35" s="111"/>
      <c r="C35" s="128">
        <f>-SUM(Saldos_base_presentac!C14:C27)</f>
        <v>3634.8977797470288</v>
      </c>
      <c r="D35" s="128">
        <f>-SUM(Saldos_base_presentac!D14:D17)</f>
        <v>4871.9955027480246</v>
      </c>
      <c r="E35" s="145"/>
      <c r="G35" s="77">
        <v>26</v>
      </c>
      <c r="H35" s="80">
        <v>43952</v>
      </c>
      <c r="I35" s="79">
        <v>20.032755780088184</v>
      </c>
      <c r="J35" s="79">
        <v>170.10245930967429</v>
      </c>
      <c r="K35" s="79">
        <v>7.7963627183601192</v>
      </c>
      <c r="L35" s="79">
        <v>-20.032755780088184</v>
      </c>
      <c r="M35" s="89">
        <v>157.86606624794621</v>
      </c>
      <c r="N35" s="72">
        <v>17</v>
      </c>
      <c r="P35" s="95">
        <f t="shared" si="1"/>
        <v>9.3514410499866401</v>
      </c>
    </row>
    <row r="36" spans="1:16" x14ac:dyDescent="0.25">
      <c r="A36" s="110"/>
      <c r="B36" s="111"/>
      <c r="C36" s="128"/>
      <c r="D36" s="128"/>
      <c r="E36" s="145"/>
      <c r="G36" s="77">
        <v>27</v>
      </c>
      <c r="H36" s="80">
        <v>43983</v>
      </c>
      <c r="I36" s="79">
        <v>20.032755780088181</v>
      </c>
      <c r="J36" s="79">
        <v>157.86606624794621</v>
      </c>
      <c r="K36" s="79">
        <v>7.2355280363642454</v>
      </c>
      <c r="L36" s="79">
        <v>-20.032755780088181</v>
      </c>
      <c r="M36" s="89">
        <v>145.0688385042223</v>
      </c>
      <c r="N36" s="72">
        <v>18</v>
      </c>
      <c r="P36" s="95">
        <f t="shared" si="1"/>
        <v>8.9416169402262664</v>
      </c>
    </row>
    <row r="37" spans="1:16" x14ac:dyDescent="0.25">
      <c r="A37" s="122" t="s">
        <v>111</v>
      </c>
      <c r="B37" s="123"/>
      <c r="C37" s="124">
        <f>C33+C35</f>
        <v>4815.5485520155289</v>
      </c>
      <c r="D37" s="124">
        <f>D33+D35</f>
        <v>5764.6561808561783</v>
      </c>
      <c r="E37" s="145"/>
      <c r="G37" s="77">
        <v>28</v>
      </c>
      <c r="H37" s="80">
        <v>44013</v>
      </c>
      <c r="I37" s="79">
        <v>20.032755780088188</v>
      </c>
      <c r="J37" s="79">
        <v>145.0688385042223</v>
      </c>
      <c r="K37" s="79">
        <v>6.6489884314435628</v>
      </c>
      <c r="L37" s="79">
        <v>-20.032755780088188</v>
      </c>
      <c r="M37" s="89">
        <v>131.68507115557767</v>
      </c>
      <c r="N37" s="72">
        <v>19</v>
      </c>
      <c r="P37" s="95">
        <f t="shared" si="1"/>
        <v>8.5497532496187425</v>
      </c>
    </row>
    <row r="38" spans="1:16" x14ac:dyDescent="0.25">
      <c r="A38" s="110"/>
      <c r="B38" s="111"/>
      <c r="C38" s="128">
        <f>C19-C37</f>
        <v>0</v>
      </c>
      <c r="D38" s="128">
        <f>D19-D37</f>
        <v>0</v>
      </c>
      <c r="E38" s="145"/>
      <c r="G38" s="77">
        <v>29</v>
      </c>
      <c r="H38" s="80">
        <v>44044</v>
      </c>
      <c r="I38" s="79">
        <v>20.032755780088184</v>
      </c>
      <c r="J38" s="79">
        <v>131.68507115557767</v>
      </c>
      <c r="K38" s="79">
        <v>6.035565761297347</v>
      </c>
      <c r="L38" s="79">
        <v>-20.032755780088184</v>
      </c>
      <c r="M38" s="89">
        <v>117.68788113678683</v>
      </c>
      <c r="N38" s="72">
        <v>20</v>
      </c>
      <c r="P38" s="95">
        <f t="shared" si="1"/>
        <v>8.1750628681613442</v>
      </c>
    </row>
    <row r="39" spans="1:16" x14ac:dyDescent="0.25">
      <c r="A39" s="110"/>
      <c r="B39" s="111"/>
      <c r="C39" s="128"/>
      <c r="D39" s="128"/>
      <c r="E39" s="145"/>
      <c r="G39" s="77">
        <v>30</v>
      </c>
      <c r="H39" s="80">
        <v>44075</v>
      </c>
      <c r="I39" s="79">
        <v>20.032755780088184</v>
      </c>
      <c r="J39" s="79">
        <v>117.68788113678683</v>
      </c>
      <c r="K39" s="79">
        <v>5.3940278854360963</v>
      </c>
      <c r="L39" s="79">
        <v>-20.032755780088184</v>
      </c>
      <c r="M39" s="89">
        <v>103.04915324213475</v>
      </c>
      <c r="N39" s="72">
        <v>21</v>
      </c>
      <c r="P39" s="95">
        <f t="shared" si="1"/>
        <v>7.8167931807120388</v>
      </c>
    </row>
    <row r="40" spans="1:16" ht="15.75" thickBot="1" x14ac:dyDescent="0.3">
      <c r="A40" s="146"/>
      <c r="B40" s="147"/>
      <c r="C40" s="148"/>
      <c r="D40" s="148"/>
      <c r="E40" s="149"/>
      <c r="G40" s="77">
        <v>31</v>
      </c>
      <c r="H40" s="80">
        <v>44105</v>
      </c>
      <c r="I40" s="79">
        <v>20.032755780088188</v>
      </c>
      <c r="J40" s="79">
        <v>103.04915324213475</v>
      </c>
      <c r="K40" s="79">
        <v>4.7230861902645387</v>
      </c>
      <c r="L40" s="79">
        <v>-20.032755780088188</v>
      </c>
      <c r="M40" s="89">
        <v>87.739483652311094</v>
      </c>
      <c r="N40" s="72">
        <v>22</v>
      </c>
      <c r="P40" s="95">
        <f t="shared" si="1"/>
        <v>7.4742245552625075</v>
      </c>
    </row>
    <row r="41" spans="1:16" x14ac:dyDescent="0.25">
      <c r="G41" s="77">
        <v>32</v>
      </c>
      <c r="H41" s="80">
        <v>44136</v>
      </c>
      <c r="I41" s="79">
        <v>20.032755780088188</v>
      </c>
      <c r="J41" s="79">
        <v>87.739483652311094</v>
      </c>
      <c r="K41" s="79">
        <v>4.0213930007309502</v>
      </c>
      <c r="L41" s="79">
        <v>-20.032755780088188</v>
      </c>
      <c r="M41" s="89">
        <v>71.728120872953866</v>
      </c>
      <c r="N41" s="72">
        <v>23</v>
      </c>
      <c r="P41" s="95">
        <f t="shared" si="1"/>
        <v>7.1466688974621571</v>
      </c>
    </row>
    <row r="42" spans="1:16" x14ac:dyDescent="0.25">
      <c r="G42" s="77">
        <v>33</v>
      </c>
      <c r="H42" s="80">
        <v>44166</v>
      </c>
      <c r="I42" s="79">
        <v>20.032755780088188</v>
      </c>
      <c r="J42" s="79">
        <v>71.728120872953866</v>
      </c>
      <c r="K42" s="79">
        <v>3.2875388733437392</v>
      </c>
      <c r="L42" s="79">
        <v>-20.032755780088188</v>
      </c>
      <c r="M42" s="89">
        <v>54.982903966209413</v>
      </c>
      <c r="N42" s="72">
        <v>24</v>
      </c>
      <c r="P42" s="95">
        <f t="shared" si="1"/>
        <v>6.8334682684897103</v>
      </c>
    </row>
    <row r="43" spans="1:16" x14ac:dyDescent="0.25">
      <c r="G43" s="77">
        <v>34</v>
      </c>
      <c r="H43" s="80">
        <v>44197</v>
      </c>
      <c r="I43" s="79">
        <v>20.032755780088184</v>
      </c>
      <c r="J43" s="79">
        <v>54.982903966209413</v>
      </c>
      <c r="K43" s="79">
        <v>2.520049765117947</v>
      </c>
      <c r="L43" s="79">
        <v>-20.032755780088184</v>
      </c>
      <c r="M43" s="89">
        <v>37.470197951239172</v>
      </c>
      <c r="N43" s="72">
        <v>25</v>
      </c>
      <c r="P43" s="95">
        <f t="shared" si="1"/>
        <v>6.5339935634961348</v>
      </c>
    </row>
    <row r="44" spans="1:16" x14ac:dyDescent="0.25">
      <c r="G44" s="77">
        <v>35</v>
      </c>
      <c r="H44" s="80">
        <v>44228</v>
      </c>
      <c r="I44" s="79">
        <v>20.032755780088188</v>
      </c>
      <c r="J44" s="79">
        <v>37.470197951239172</v>
      </c>
      <c r="K44" s="79">
        <v>1.7173840727651393</v>
      </c>
      <c r="L44" s="79">
        <v>-20.032755780088188</v>
      </c>
      <c r="M44" s="89">
        <v>19.154826243916126</v>
      </c>
      <c r="N44" s="72">
        <v>26</v>
      </c>
      <c r="P44" s="95">
        <f t="shared" si="1"/>
        <v>6.2476432479644322</v>
      </c>
    </row>
    <row r="45" spans="1:16" ht="15.75" thickBot="1" x14ac:dyDescent="0.3">
      <c r="G45" s="91">
        <v>36</v>
      </c>
      <c r="H45" s="92">
        <v>44256</v>
      </c>
      <c r="I45" s="93">
        <v>20.032755780088188</v>
      </c>
      <c r="J45" s="93">
        <v>19.154826243916126</v>
      </c>
      <c r="K45" s="93">
        <v>0.87792953617949454</v>
      </c>
      <c r="L45" s="93">
        <v>-20.032755780088188</v>
      </c>
      <c r="M45" s="94">
        <v>7.4322770160506479E-12</v>
      </c>
      <c r="N45" s="72">
        <v>27</v>
      </c>
      <c r="P45" s="95">
        <f t="shared" si="1"/>
        <v>5.9738421494480614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="120" zoomScaleNormal="120" workbookViewId="0">
      <selection activeCell="D19" sqref="D19"/>
    </sheetView>
  </sheetViews>
  <sheetFormatPr baseColWidth="10" defaultColWidth="14" defaultRowHeight="12.75" x14ac:dyDescent="0.2"/>
  <cols>
    <col min="1" max="16384" width="14" style="3"/>
  </cols>
  <sheetData>
    <row r="1" spans="1:7" x14ac:dyDescent="0.2">
      <c r="A1" s="25" t="s">
        <v>38</v>
      </c>
      <c r="B1" s="25" t="s">
        <v>39</v>
      </c>
      <c r="C1" s="2" t="s">
        <v>34</v>
      </c>
      <c r="D1" s="2" t="s">
        <v>33</v>
      </c>
      <c r="E1" s="2" t="s">
        <v>35</v>
      </c>
      <c r="F1" s="2" t="s">
        <v>36</v>
      </c>
      <c r="G1" s="2" t="s">
        <v>66</v>
      </c>
    </row>
    <row r="2" spans="1:7" x14ac:dyDescent="0.2">
      <c r="A2" s="26">
        <v>37653</v>
      </c>
      <c r="B2" s="4">
        <f>[1]INFORMACIÓN_ADICIONAL!B14</f>
        <v>130</v>
      </c>
      <c r="C2" s="26">
        <f>A2</f>
        <v>37653</v>
      </c>
      <c r="D2" s="3">
        <f>'ipc empalme ipim'!$B$315</f>
        <v>184.2552</v>
      </c>
      <c r="E2" s="33">
        <f>VLOOKUP(C2,'ipc empalme ipim'!$A:$B,2,FALSE)</f>
        <v>16.588679111930272</v>
      </c>
      <c r="F2" s="32">
        <f>D2/E2</f>
        <v>11.107285803574744</v>
      </c>
      <c r="G2" s="4">
        <f>B2*F2</f>
        <v>1443.9471544647167</v>
      </c>
    </row>
    <row r="3" spans="1:7" x14ac:dyDescent="0.2">
      <c r="A3" s="26">
        <v>42125</v>
      </c>
      <c r="B3" s="4">
        <v>180</v>
      </c>
      <c r="C3" s="26">
        <f t="shared" ref="C3:C6" si="0">A3</f>
        <v>42125</v>
      </c>
      <c r="D3" s="3">
        <f>'ipc empalme ipim'!$B$315</f>
        <v>184.2552</v>
      </c>
      <c r="E3" s="33">
        <f>VLOOKUP(C3,'ipc empalme ipim'!$A:$B,2,FALSE)</f>
        <v>65.752820320822565</v>
      </c>
      <c r="F3" s="32">
        <f t="shared" ref="F3:F5" si="1">D3/E3</f>
        <v>2.8022402552617227</v>
      </c>
      <c r="G3" s="4">
        <f t="shared" ref="G3:G5" si="2">B3*F3</f>
        <v>504.40324594711007</v>
      </c>
    </row>
    <row r="4" spans="1:7" x14ac:dyDescent="0.2">
      <c r="A4" s="26">
        <v>42278</v>
      </c>
      <c r="B4" s="4">
        <v>240</v>
      </c>
      <c r="C4" s="26">
        <f t="shared" si="0"/>
        <v>42278</v>
      </c>
      <c r="D4" s="3">
        <f>'ipc empalme ipim'!$B$315</f>
        <v>184.2552</v>
      </c>
      <c r="E4" s="33">
        <f>VLOOKUP(C4,'ipc empalme ipim'!$A:$B,2,FALSE)</f>
        <v>70.109975762601096</v>
      </c>
      <c r="F4" s="32">
        <f t="shared" si="1"/>
        <v>2.6280881999432615</v>
      </c>
      <c r="G4" s="4">
        <f t="shared" si="2"/>
        <v>630.74116798638272</v>
      </c>
    </row>
    <row r="5" spans="1:7" x14ac:dyDescent="0.2">
      <c r="A5" s="62">
        <v>42736</v>
      </c>
      <c r="B5" s="63">
        <v>258</v>
      </c>
      <c r="C5" s="26">
        <f t="shared" si="0"/>
        <v>42736</v>
      </c>
      <c r="D5" s="3">
        <f>'ipc empalme ipim'!$B$315</f>
        <v>184.2552</v>
      </c>
      <c r="E5" s="33">
        <f>VLOOKUP(C5,'ipc empalme ipim'!$A:$B,2,FALSE)</f>
        <v>101.5859</v>
      </c>
      <c r="F5" s="32">
        <f t="shared" si="1"/>
        <v>1.8137871495945797</v>
      </c>
      <c r="G5" s="4">
        <f t="shared" si="2"/>
        <v>467.95708459540157</v>
      </c>
    </row>
    <row r="6" spans="1:7" x14ac:dyDescent="0.2">
      <c r="A6" s="62">
        <v>42736</v>
      </c>
      <c r="B6" s="63">
        <v>335</v>
      </c>
      <c r="C6" s="26">
        <f t="shared" si="0"/>
        <v>42736</v>
      </c>
      <c r="D6" s="3">
        <f>'ipc empalme ipim'!$B$315</f>
        <v>184.2552</v>
      </c>
      <c r="E6" s="33">
        <f>VLOOKUP(C6,'ipc empalme ipim'!$A:$B,2,FALSE)</f>
        <v>101.5859</v>
      </c>
      <c r="F6" s="32">
        <f t="shared" ref="F6:F7" si="3">D6/E6</f>
        <v>1.8137871495945797</v>
      </c>
      <c r="G6" s="4">
        <f t="shared" ref="G6:G7" si="4">B6*F6</f>
        <v>607.61869511418422</v>
      </c>
    </row>
    <row r="7" spans="1:7" x14ac:dyDescent="0.2">
      <c r="A7" s="27">
        <v>43191</v>
      </c>
      <c r="B7" s="28">
        <v>350</v>
      </c>
      <c r="C7" s="26">
        <v>43191</v>
      </c>
      <c r="D7" s="3">
        <f>'ipc empalme ipim'!$B$315</f>
        <v>184.2552</v>
      </c>
      <c r="E7" s="33">
        <f>VLOOKUP(C7,'ipc empalme ipim'!$A:$B,2,FALSE)</f>
        <v>136.75120000000001</v>
      </c>
      <c r="F7" s="32">
        <f t="shared" si="3"/>
        <v>1.3473753795213497</v>
      </c>
      <c r="G7" s="28">
        <f t="shared" si="4"/>
        <v>471.5813828324724</v>
      </c>
    </row>
    <row r="8" spans="1:7" x14ac:dyDescent="0.2">
      <c r="A8" s="29" t="s">
        <v>40</v>
      </c>
      <c r="B8" s="30">
        <f>SUM(B2:B7)</f>
        <v>1493</v>
      </c>
      <c r="G8" s="30">
        <f>SUM(G2:G7)</f>
        <v>4126.2487309402677</v>
      </c>
    </row>
    <row r="10" spans="1:7" x14ac:dyDescent="0.2">
      <c r="A10" s="25" t="s">
        <v>41</v>
      </c>
      <c r="B10" s="25" t="s">
        <v>39</v>
      </c>
      <c r="C10" s="2" t="s">
        <v>34</v>
      </c>
      <c r="D10" s="2" t="s">
        <v>33</v>
      </c>
      <c r="E10" s="2" t="s">
        <v>35</v>
      </c>
      <c r="F10" s="2" t="s">
        <v>36</v>
      </c>
      <c r="G10" s="2" t="s">
        <v>66</v>
      </c>
    </row>
    <row r="11" spans="1:7" x14ac:dyDescent="0.2">
      <c r="A11" s="26">
        <v>37653</v>
      </c>
      <c r="B11" s="4">
        <f>[1]INFORMACIÓN_ADICIONAL!C14</f>
        <v>-91</v>
      </c>
      <c r="C11" s="26">
        <f t="shared" ref="C11:C15" si="5">A11</f>
        <v>37653</v>
      </c>
      <c r="D11" s="3">
        <f>'ipc empalme ipim'!$B$315</f>
        <v>184.2552</v>
      </c>
      <c r="E11" s="33">
        <f>VLOOKUP(C11,'ipc empalme ipim'!$A:$B,2,FALSE)</f>
        <v>16.588679111930272</v>
      </c>
      <c r="F11" s="32">
        <f t="shared" ref="F11:F15" si="6">D11/E11</f>
        <v>11.107285803574744</v>
      </c>
      <c r="G11" s="4">
        <f t="shared" ref="G11:G15" si="7">B11*F11</f>
        <v>-1010.7630081253017</v>
      </c>
    </row>
    <row r="12" spans="1:7" x14ac:dyDescent="0.2">
      <c r="A12" s="26">
        <v>42125</v>
      </c>
      <c r="B12" s="4">
        <f>[1]INFORMACIÓN_ADICIONAL!C16</f>
        <v>-42</v>
      </c>
      <c r="C12" s="26">
        <f t="shared" si="5"/>
        <v>42125</v>
      </c>
      <c r="D12" s="3">
        <f>'ipc empalme ipim'!$B$315</f>
        <v>184.2552</v>
      </c>
      <c r="E12" s="33">
        <f>VLOOKUP(C12,'ipc empalme ipim'!$A:$B,2,FALSE)</f>
        <v>65.752820320822565</v>
      </c>
      <c r="F12" s="32">
        <f t="shared" si="6"/>
        <v>2.8022402552617227</v>
      </c>
      <c r="G12" s="4">
        <f t="shared" si="7"/>
        <v>-117.69409072099235</v>
      </c>
    </row>
    <row r="13" spans="1:7" x14ac:dyDescent="0.2">
      <c r="A13" s="26">
        <v>42278</v>
      </c>
      <c r="B13" s="4">
        <f>[1]INFORMACIÓN_ADICIONAL!C17</f>
        <v>-27</v>
      </c>
      <c r="C13" s="26">
        <f t="shared" si="5"/>
        <v>42278</v>
      </c>
      <c r="D13" s="3">
        <f>'ipc empalme ipim'!$B$315</f>
        <v>184.2552</v>
      </c>
      <c r="E13" s="33">
        <f>VLOOKUP(C13,'ipc empalme ipim'!$A:$B,2,FALSE)</f>
        <v>70.109975762601096</v>
      </c>
      <c r="F13" s="32">
        <f t="shared" si="6"/>
        <v>2.6280881999432615</v>
      </c>
      <c r="G13" s="4">
        <f t="shared" si="7"/>
        <v>-70.958381398468063</v>
      </c>
    </row>
    <row r="14" spans="1:7" x14ac:dyDescent="0.2">
      <c r="A14" s="26">
        <v>42736</v>
      </c>
      <c r="B14" s="4">
        <f>[1]INFORMACIÓN_ADICIONAL!C18</f>
        <v>-25.8</v>
      </c>
      <c r="C14" s="26">
        <f t="shared" si="5"/>
        <v>42736</v>
      </c>
      <c r="D14" s="3">
        <f>'ipc empalme ipim'!$B$315</f>
        <v>184.2552</v>
      </c>
      <c r="E14" s="33">
        <f>VLOOKUP(C14,'ipc empalme ipim'!$A:$B,2,FALSE)</f>
        <v>101.5859</v>
      </c>
      <c r="F14" s="32">
        <f t="shared" si="6"/>
        <v>1.8137871495945797</v>
      </c>
      <c r="G14" s="4">
        <f t="shared" si="7"/>
        <v>-46.795708459540158</v>
      </c>
    </row>
    <row r="15" spans="1:7" x14ac:dyDescent="0.2">
      <c r="A15" s="27">
        <v>42736</v>
      </c>
      <c r="B15" s="28">
        <f>[1]INFORMACIÓN_ADICIONAL!C19</f>
        <v>-33.5</v>
      </c>
      <c r="C15" s="26">
        <f t="shared" si="5"/>
        <v>42736</v>
      </c>
      <c r="D15" s="3">
        <f>'ipc empalme ipim'!$B$315</f>
        <v>184.2552</v>
      </c>
      <c r="E15" s="33">
        <f>VLOOKUP(C15,'ipc empalme ipim'!$A:$B,2,FALSE)</f>
        <v>101.5859</v>
      </c>
      <c r="F15" s="32">
        <f t="shared" si="6"/>
        <v>1.8137871495945797</v>
      </c>
      <c r="G15" s="4">
        <f t="shared" si="7"/>
        <v>-60.761869511418418</v>
      </c>
    </row>
    <row r="16" spans="1:7" x14ac:dyDescent="0.2">
      <c r="A16" s="29" t="s">
        <v>40</v>
      </c>
      <c r="B16" s="30">
        <f>SUM(B11:B15)</f>
        <v>-219.3</v>
      </c>
      <c r="G16" s="30">
        <f>SUM(G11:G15)</f>
        <v>-1306.9730582157206</v>
      </c>
    </row>
    <row r="18" spans="1:7" x14ac:dyDescent="0.2">
      <c r="A18" s="25" t="s">
        <v>64</v>
      </c>
      <c r="B18" s="25" t="s">
        <v>39</v>
      </c>
      <c r="C18" s="2" t="s">
        <v>34</v>
      </c>
      <c r="D18" s="2" t="s">
        <v>33</v>
      </c>
      <c r="E18" s="2" t="s">
        <v>35</v>
      </c>
      <c r="F18" s="2" t="s">
        <v>36</v>
      </c>
      <c r="G18" s="2" t="s">
        <v>66</v>
      </c>
    </row>
    <row r="19" spans="1:7" x14ac:dyDescent="0.2">
      <c r="A19" s="26">
        <v>37653</v>
      </c>
      <c r="B19" s="4">
        <f>-[1]INFORMACIÓN_ADICIONAL!E14</f>
        <v>-6.5</v>
      </c>
      <c r="C19" s="26">
        <f t="shared" ref="C19:C23" si="8">A19</f>
        <v>37653</v>
      </c>
      <c r="D19" s="3">
        <f>'ipc empalme ipim'!$B$315</f>
        <v>184.2552</v>
      </c>
      <c r="E19" s="33">
        <f>VLOOKUP(C19,'ipc empalme ipim'!$A:$B,2,FALSE)</f>
        <v>16.588679111930272</v>
      </c>
      <c r="F19" s="32">
        <f t="shared" ref="F19:F23" si="9">D19/E19</f>
        <v>11.107285803574744</v>
      </c>
      <c r="G19" s="4">
        <f t="shared" ref="G19:G23" si="10">B19*F19</f>
        <v>-72.197357723235839</v>
      </c>
    </row>
    <row r="20" spans="1:7" x14ac:dyDescent="0.2">
      <c r="A20" s="26">
        <v>42125</v>
      </c>
      <c r="B20" s="4">
        <f>-[1]INFORMACIÓN_ADICIONAL!E16</f>
        <v>-18</v>
      </c>
      <c r="C20" s="26">
        <f t="shared" si="8"/>
        <v>42125</v>
      </c>
      <c r="D20" s="3">
        <f>'ipc empalme ipim'!$B$315</f>
        <v>184.2552</v>
      </c>
      <c r="E20" s="33">
        <f>VLOOKUP(C20,'ipc empalme ipim'!$A:$B,2,FALSE)</f>
        <v>65.752820320822565</v>
      </c>
      <c r="F20" s="32">
        <f t="shared" si="9"/>
        <v>2.8022402552617227</v>
      </c>
      <c r="G20" s="4">
        <f t="shared" si="10"/>
        <v>-50.440324594711008</v>
      </c>
    </row>
    <row r="21" spans="1:7" x14ac:dyDescent="0.2">
      <c r="A21" s="26">
        <v>42278</v>
      </c>
      <c r="B21" s="4">
        <f>-[1]INFORMACIÓN_ADICIONAL!E17</f>
        <v>-12</v>
      </c>
      <c r="C21" s="26">
        <f t="shared" si="8"/>
        <v>42278</v>
      </c>
      <c r="D21" s="3">
        <f>'ipc empalme ipim'!$B$315</f>
        <v>184.2552</v>
      </c>
      <c r="E21" s="33">
        <f>VLOOKUP(C21,'ipc empalme ipim'!$A:$B,2,FALSE)</f>
        <v>70.109975762601096</v>
      </c>
      <c r="F21" s="32">
        <f t="shared" si="9"/>
        <v>2.6280881999432615</v>
      </c>
      <c r="G21" s="4">
        <f t="shared" si="10"/>
        <v>-31.537058399319136</v>
      </c>
    </row>
    <row r="22" spans="1:7" x14ac:dyDescent="0.2">
      <c r="A22" s="26">
        <v>42736</v>
      </c>
      <c r="B22" s="4">
        <f>-[1]INFORMACIÓN_ADICIONAL!E18</f>
        <v>-25.8</v>
      </c>
      <c r="C22" s="26">
        <f t="shared" si="8"/>
        <v>42736</v>
      </c>
      <c r="D22" s="3">
        <f>'ipc empalme ipim'!$B$315</f>
        <v>184.2552</v>
      </c>
      <c r="E22" s="33">
        <f>VLOOKUP(C22,'ipc empalme ipim'!$A:$B,2,FALSE)</f>
        <v>101.5859</v>
      </c>
      <c r="F22" s="32">
        <f t="shared" si="9"/>
        <v>1.8137871495945797</v>
      </c>
      <c r="G22" s="4">
        <f t="shared" si="10"/>
        <v>-46.795708459540158</v>
      </c>
    </row>
    <row r="23" spans="1:7" x14ac:dyDescent="0.2">
      <c r="A23" s="27">
        <v>42736</v>
      </c>
      <c r="B23" s="28">
        <f>-[1]INFORMACIÓN_ADICIONAL!E19</f>
        <v>-33.5</v>
      </c>
      <c r="C23" s="26">
        <f t="shared" si="8"/>
        <v>42736</v>
      </c>
      <c r="D23" s="3">
        <f>'ipc empalme ipim'!$B$315</f>
        <v>184.2552</v>
      </c>
      <c r="E23" s="33">
        <f>VLOOKUP(C23,'ipc empalme ipim'!$A:$B,2,FALSE)</f>
        <v>101.5859</v>
      </c>
      <c r="F23" s="32">
        <f t="shared" si="9"/>
        <v>1.8137871495945797</v>
      </c>
      <c r="G23" s="4">
        <f t="shared" si="10"/>
        <v>-60.761869511418418</v>
      </c>
    </row>
    <row r="24" spans="1:7" x14ac:dyDescent="0.2">
      <c r="A24" s="29" t="s">
        <v>40</v>
      </c>
      <c r="B24" s="30">
        <f>SUM(B18:B23)</f>
        <v>-95.8</v>
      </c>
      <c r="G24" s="30">
        <f>SUM(G18:G23)</f>
        <v>-261.73231868822455</v>
      </c>
    </row>
    <row r="26" spans="1:7" x14ac:dyDescent="0.2">
      <c r="A26" s="31" t="s">
        <v>65</v>
      </c>
      <c r="B26" s="30">
        <f>B16+B24</f>
        <v>-315.10000000000002</v>
      </c>
      <c r="G26" s="30">
        <f>G16+G24</f>
        <v>-1568.7053769039451</v>
      </c>
    </row>
    <row r="28" spans="1:7" x14ac:dyDescent="0.2">
      <c r="A28" s="31" t="s">
        <v>42</v>
      </c>
      <c r="B28" s="30">
        <f>B8+B26</f>
        <v>1177.9000000000001</v>
      </c>
      <c r="G28" s="30">
        <f>G8+G26</f>
        <v>2557.5433540363229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zoomScale="140" zoomScaleNormal="140" workbookViewId="0">
      <selection activeCell="B4" sqref="B4:G4"/>
    </sheetView>
  </sheetViews>
  <sheetFormatPr baseColWidth="10" defaultRowHeight="12.75" x14ac:dyDescent="0.2"/>
  <cols>
    <col min="1" max="1" width="12.85546875" style="3" bestFit="1" customWidth="1"/>
    <col min="2" max="3" width="14.7109375" style="3" customWidth="1"/>
    <col min="4" max="6" width="13.7109375" style="3" customWidth="1"/>
    <col min="7" max="16384" width="11.42578125" style="3"/>
  </cols>
  <sheetData>
    <row r="1" spans="1:7" ht="25.5" x14ac:dyDescent="0.2">
      <c r="B1" s="25" t="s">
        <v>45</v>
      </c>
      <c r="C1" s="25" t="s">
        <v>46</v>
      </c>
      <c r="D1" s="25" t="s">
        <v>47</v>
      </c>
      <c r="E1" s="25" t="s">
        <v>49</v>
      </c>
      <c r="F1" s="37" t="s">
        <v>50</v>
      </c>
    </row>
    <row r="2" spans="1:7" x14ac:dyDescent="0.2">
      <c r="A2" s="39" t="s">
        <v>48</v>
      </c>
      <c r="B2" s="4">
        <f>'AUX-BU paso 5.2'!G28</f>
        <v>2557.5433540363229</v>
      </c>
      <c r="C2" s="4">
        <f>'AUX-BU paso 5.2'!B28</f>
        <v>1177.9000000000001</v>
      </c>
      <c r="D2" s="4">
        <f>B2-C2</f>
        <v>1379.6433540363228</v>
      </c>
      <c r="E2" s="36">
        <v>0.25</v>
      </c>
      <c r="F2" s="38">
        <f>-D2*E2</f>
        <v>-344.91083850908069</v>
      </c>
    </row>
    <row r="3" spans="1:7" x14ac:dyDescent="0.2">
      <c r="B3" s="4"/>
      <c r="C3" s="4"/>
      <c r="D3" s="4"/>
    </row>
    <row r="4" spans="1:7" x14ac:dyDescent="0.2">
      <c r="B4" s="2" t="s">
        <v>39</v>
      </c>
      <c r="C4" s="2" t="s">
        <v>34</v>
      </c>
      <c r="D4" s="2" t="s">
        <v>33</v>
      </c>
      <c r="E4" s="2" t="s">
        <v>35</v>
      </c>
      <c r="F4" s="2" t="s">
        <v>36</v>
      </c>
      <c r="G4" s="2" t="s">
        <v>66</v>
      </c>
    </row>
    <row r="5" spans="1:7" x14ac:dyDescent="0.2">
      <c r="A5" s="26" t="s">
        <v>67</v>
      </c>
      <c r="B5" s="4">
        <f>'AUX-PID paso 1.2'!F2</f>
        <v>-166.59691189672714</v>
      </c>
      <c r="C5" s="26">
        <v>43070</v>
      </c>
      <c r="D5" s="3">
        <f>'ipc empalme ipim'!$B$315</f>
        <v>184.2552</v>
      </c>
      <c r="E5" s="33">
        <f>VLOOKUP(C5,'ipc empalme ipim'!$A:$B,2,FALSE)</f>
        <v>124.79559999999999</v>
      </c>
      <c r="F5" s="32">
        <f t="shared" ref="F5" si="0">D5/E5</f>
        <v>1.4764559006888065</v>
      </c>
      <c r="G5" s="4">
        <f t="shared" ref="G5" si="1">B5*F5</f>
        <v>-245.97299360645601</v>
      </c>
    </row>
    <row r="6" spans="1:7" x14ac:dyDescent="0.2">
      <c r="A6" s="65" t="s">
        <v>69</v>
      </c>
      <c r="B6" s="28"/>
      <c r="C6" s="28"/>
      <c r="D6" s="28"/>
      <c r="E6" s="65"/>
      <c r="F6" s="65"/>
      <c r="G6" s="28">
        <f>G7-G5</f>
        <v>-98.937844902624676</v>
      </c>
    </row>
    <row r="7" spans="1:7" x14ac:dyDescent="0.2">
      <c r="A7" s="41" t="s">
        <v>68</v>
      </c>
      <c r="B7" s="38"/>
      <c r="C7" s="38"/>
      <c r="D7" s="38"/>
      <c r="E7" s="41"/>
      <c r="F7" s="41"/>
      <c r="G7" s="38">
        <f>F2</f>
        <v>-344.91083850908069</v>
      </c>
    </row>
    <row r="8" spans="1:7" x14ac:dyDescent="0.2">
      <c r="B8" s="4"/>
      <c r="C8" s="4"/>
      <c r="D8" s="4"/>
    </row>
    <row r="9" spans="1:7" x14ac:dyDescent="0.2">
      <c r="B9" s="4"/>
      <c r="C9" s="4"/>
      <c r="D9" s="4"/>
    </row>
    <row r="10" spans="1:7" x14ac:dyDescent="0.2">
      <c r="B10" s="4"/>
      <c r="C10" s="4"/>
      <c r="D10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workbookViewId="0">
      <selection activeCell="P3" sqref="P3:P27"/>
    </sheetView>
  </sheetViews>
  <sheetFormatPr baseColWidth="10" defaultRowHeight="12.75" x14ac:dyDescent="0.2"/>
  <cols>
    <col min="1" max="1" width="42.28515625" style="3" bestFit="1" customWidth="1"/>
    <col min="2" max="12" width="12.7109375" style="3" customWidth="1"/>
    <col min="13" max="13" width="11.42578125" style="3"/>
    <col min="14" max="16" width="12.7109375" style="3" customWidth="1"/>
    <col min="17" max="16384" width="11.42578125" style="3"/>
  </cols>
  <sheetData>
    <row r="1" spans="1:20" x14ac:dyDescent="0.2">
      <c r="C1" s="25" t="s">
        <v>39</v>
      </c>
      <c r="D1" s="25" t="s">
        <v>62</v>
      </c>
      <c r="E1" s="25" t="s">
        <v>63</v>
      </c>
      <c r="F1" s="2"/>
      <c r="N1" s="25" t="s">
        <v>66</v>
      </c>
      <c r="P1" s="25" t="s">
        <v>66</v>
      </c>
    </row>
    <row r="2" spans="1:20" x14ac:dyDescent="0.2">
      <c r="A2" s="1" t="s">
        <v>0</v>
      </c>
      <c r="B2" s="1" t="s">
        <v>61</v>
      </c>
      <c r="C2" s="2">
        <v>43435</v>
      </c>
      <c r="D2" s="2">
        <v>43435</v>
      </c>
      <c r="E2" s="2">
        <v>43435</v>
      </c>
      <c r="F2" s="2" t="s">
        <v>72</v>
      </c>
      <c r="G2" s="2" t="s">
        <v>73</v>
      </c>
      <c r="H2" s="2" t="s">
        <v>74</v>
      </c>
      <c r="I2" s="2" t="s">
        <v>75</v>
      </c>
      <c r="J2" s="2" t="s">
        <v>76</v>
      </c>
      <c r="K2" s="2" t="s">
        <v>78</v>
      </c>
      <c r="L2" s="2" t="s">
        <v>77</v>
      </c>
      <c r="M2" s="2" t="s">
        <v>24</v>
      </c>
      <c r="N2" s="2">
        <v>43435</v>
      </c>
      <c r="O2" s="2" t="s">
        <v>58</v>
      </c>
      <c r="P2" s="2">
        <v>43435</v>
      </c>
    </row>
    <row r="3" spans="1:20" x14ac:dyDescent="0.2">
      <c r="A3" s="3" t="s">
        <v>1</v>
      </c>
      <c r="B3" s="3" t="s">
        <v>28</v>
      </c>
      <c r="C3" s="4">
        <f>'Paso 1.1'!N2</f>
        <v>767.00519797920674</v>
      </c>
      <c r="D3" s="4">
        <f>SUM('Paso 4'!B2:N2)</f>
        <v>1333.3837164283723</v>
      </c>
      <c r="E3" s="4">
        <f>IF(B3="Cierre",C3,"")</f>
        <v>767.00519797920674</v>
      </c>
      <c r="F3" s="4">
        <f>E3-D3</f>
        <v>-566.37851844916554</v>
      </c>
      <c r="G3" s="4">
        <f>F3</f>
        <v>-566.37851844916554</v>
      </c>
      <c r="M3" s="4">
        <f>F3-SUM(G3:L3)</f>
        <v>0</v>
      </c>
      <c r="N3" s="4">
        <f>E3</f>
        <v>767.00519797920674</v>
      </c>
      <c r="P3" s="4">
        <f>N3+O3</f>
        <v>767.00519797920674</v>
      </c>
    </row>
    <row r="4" spans="1:20" x14ac:dyDescent="0.2">
      <c r="A4" s="3" t="s">
        <v>2</v>
      </c>
      <c r="B4" s="3" t="s">
        <v>28</v>
      </c>
      <c r="C4" s="4">
        <f>'Paso 1.1'!N3</f>
        <v>1064</v>
      </c>
      <c r="D4" s="4">
        <f>SUM('Paso 4'!B3:N3)</f>
        <v>1322.1719755397623</v>
      </c>
      <c r="E4" s="4">
        <f t="shared" ref="E4:E12" si="0">IF(B4="Cierre",C4,"")</f>
        <v>1064</v>
      </c>
      <c r="F4" s="4">
        <f t="shared" ref="F4:F17" si="1">E4-D4</f>
        <v>-258.17197553976234</v>
      </c>
      <c r="I4" s="4">
        <f>F4</f>
        <v>-258.17197553976234</v>
      </c>
      <c r="M4" s="4">
        <f t="shared" ref="M4:M13" si="2">F4-SUM(G4:L4)</f>
        <v>0</v>
      </c>
      <c r="N4" s="4">
        <f t="shared" ref="N4:N17" si="3">E4</f>
        <v>1064</v>
      </c>
      <c r="P4" s="4">
        <f t="shared" ref="P4:P13" si="4">N4+O4</f>
        <v>1064</v>
      </c>
    </row>
    <row r="5" spans="1:20" x14ac:dyDescent="0.2">
      <c r="A5" s="3" t="s">
        <v>3</v>
      </c>
      <c r="B5" s="3" t="s">
        <v>28</v>
      </c>
      <c r="C5" s="4">
        <f>'Paso 1.1'!N4</f>
        <v>257</v>
      </c>
      <c r="D5" s="4">
        <f>SUM('Paso 4'!B4:N4)</f>
        <v>343.43001665401579</v>
      </c>
      <c r="E5" s="4">
        <f t="shared" si="0"/>
        <v>257</v>
      </c>
      <c r="F5" s="4">
        <f t="shared" si="1"/>
        <v>-86.430016654015787</v>
      </c>
      <c r="G5" s="4">
        <f>F5</f>
        <v>-86.430016654015787</v>
      </c>
      <c r="M5" s="4">
        <f t="shared" si="2"/>
        <v>0</v>
      </c>
      <c r="N5" s="4">
        <f t="shared" si="3"/>
        <v>257</v>
      </c>
      <c r="P5" s="4">
        <f t="shared" si="4"/>
        <v>257</v>
      </c>
    </row>
    <row r="6" spans="1:20" x14ac:dyDescent="0.2">
      <c r="A6" s="3" t="s">
        <v>4</v>
      </c>
      <c r="B6" s="3" t="s">
        <v>28</v>
      </c>
      <c r="C6" s="4">
        <v>170</v>
      </c>
      <c r="D6" s="4">
        <f>SUM('Paso 4'!B5:N5)</f>
        <v>243.61522361365309</v>
      </c>
      <c r="E6" s="4">
        <f>D6</f>
        <v>243.61522361365309</v>
      </c>
      <c r="F6" s="4">
        <f t="shared" si="1"/>
        <v>0</v>
      </c>
      <c r="M6" s="4">
        <f t="shared" si="2"/>
        <v>0</v>
      </c>
      <c r="N6" s="4">
        <f t="shared" si="3"/>
        <v>243.61522361365309</v>
      </c>
      <c r="O6" s="4">
        <v>-73.615223613653143</v>
      </c>
      <c r="P6" s="4">
        <f t="shared" si="4"/>
        <v>169.99999999999994</v>
      </c>
      <c r="R6" s="4">
        <v>2133.5246299128808</v>
      </c>
      <c r="S6" s="4">
        <f>T6-R6</f>
        <v>-1963.5246299128808</v>
      </c>
      <c r="T6" s="3">
        <v>170</v>
      </c>
    </row>
    <row r="7" spans="1:20" x14ac:dyDescent="0.2">
      <c r="A7" s="3" t="s">
        <v>5</v>
      </c>
      <c r="B7" s="3" t="s">
        <v>29</v>
      </c>
      <c r="C7" s="4">
        <v>0</v>
      </c>
      <c r="D7" s="4">
        <f>SUM('Paso 4'!B6:N6)</f>
        <v>1889.9094062992276</v>
      </c>
      <c r="E7" s="64">
        <f>D7</f>
        <v>1889.9094062992276</v>
      </c>
      <c r="F7" s="4">
        <f t="shared" si="1"/>
        <v>0</v>
      </c>
      <c r="M7" s="4">
        <f t="shared" si="2"/>
        <v>0</v>
      </c>
      <c r="N7" s="4">
        <f t="shared" si="3"/>
        <v>1889.9094062992276</v>
      </c>
      <c r="O7" s="4">
        <f>-N7</f>
        <v>-1889.9094062992276</v>
      </c>
      <c r="P7" s="4">
        <f t="shared" si="4"/>
        <v>0</v>
      </c>
    </row>
    <row r="8" spans="1:20" x14ac:dyDescent="0.2">
      <c r="A8" s="3" t="s">
        <v>6</v>
      </c>
      <c r="B8" s="3" t="s">
        <v>29</v>
      </c>
      <c r="C8" s="4">
        <f>'Paso 1.1'!N7</f>
        <v>1493</v>
      </c>
      <c r="D8" s="4">
        <f>SUM('Paso 4'!B7:N7)</f>
        <v>4126.2487309402677</v>
      </c>
      <c r="E8" s="64">
        <f>'AUX-BU paso 5.2'!G8</f>
        <v>4126.2487309402677</v>
      </c>
      <c r="F8" s="4">
        <f t="shared" si="1"/>
        <v>0</v>
      </c>
      <c r="M8" s="4">
        <f t="shared" si="2"/>
        <v>0</v>
      </c>
      <c r="N8" s="4">
        <f t="shared" si="3"/>
        <v>4126.2487309402677</v>
      </c>
      <c r="P8" s="4">
        <f t="shared" si="4"/>
        <v>4126.2487309402677</v>
      </c>
    </row>
    <row r="9" spans="1:20" x14ac:dyDescent="0.2">
      <c r="A9" s="3" t="s">
        <v>7</v>
      </c>
      <c r="B9" s="3" t="s">
        <v>29</v>
      </c>
      <c r="C9" s="4">
        <f>'Paso 1.1'!N8</f>
        <v>-315.10000000000002</v>
      </c>
      <c r="D9" s="4">
        <f>SUM('Paso 4'!B8:N8)</f>
        <v>-1425.2273790181266</v>
      </c>
      <c r="E9" s="64">
        <f>'AUX-BU paso 5.2'!G26</f>
        <v>-1568.7053769039451</v>
      </c>
      <c r="F9" s="4">
        <f t="shared" si="1"/>
        <v>-143.47799788581847</v>
      </c>
      <c r="J9" s="4">
        <f>F9</f>
        <v>-143.47799788581847</v>
      </c>
      <c r="M9" s="4">
        <f t="shared" si="2"/>
        <v>0</v>
      </c>
      <c r="N9" s="4">
        <f t="shared" si="3"/>
        <v>-1568.7053769039451</v>
      </c>
      <c r="P9" s="4">
        <f t="shared" si="4"/>
        <v>-1568.7053769039451</v>
      </c>
    </row>
    <row r="10" spans="1:20" x14ac:dyDescent="0.2">
      <c r="A10" s="3" t="s">
        <v>8</v>
      </c>
      <c r="B10" s="3" t="s">
        <v>28</v>
      </c>
      <c r="C10" s="4">
        <f>'Paso 1.1'!N9</f>
        <v>-414</v>
      </c>
      <c r="D10" s="4">
        <f>SUM('Paso 4'!B9:N9)</f>
        <v>-537.33470212936516</v>
      </c>
      <c r="E10" s="4">
        <f t="shared" si="0"/>
        <v>-414</v>
      </c>
      <c r="F10" s="4">
        <f t="shared" si="1"/>
        <v>123.33470212936516</v>
      </c>
      <c r="H10" s="4">
        <f>F10</f>
        <v>123.33470212936516</v>
      </c>
      <c r="M10" s="4">
        <f t="shared" si="2"/>
        <v>0</v>
      </c>
      <c r="N10" s="4">
        <f t="shared" si="3"/>
        <v>-414</v>
      </c>
      <c r="P10" s="4">
        <f t="shared" si="4"/>
        <v>-414</v>
      </c>
    </row>
    <row r="11" spans="1:20" x14ac:dyDescent="0.2">
      <c r="A11" s="3" t="s">
        <v>9</v>
      </c>
      <c r="B11" s="3" t="s">
        <v>28</v>
      </c>
      <c r="C11" s="4">
        <f>'Paso 1.1'!N10</f>
        <v>-306.73993375942013</v>
      </c>
      <c r="D11" s="4">
        <f>SUM('Paso 4'!B10:N10)</f>
        <v>-421.42546920077706</v>
      </c>
      <c r="E11" s="4">
        <f t="shared" si="0"/>
        <v>-306.73993375942013</v>
      </c>
      <c r="F11" s="4">
        <f t="shared" si="1"/>
        <v>114.68553544135693</v>
      </c>
      <c r="K11" s="4">
        <f>F11</f>
        <v>114.68553544135693</v>
      </c>
      <c r="M11" s="4">
        <f t="shared" si="2"/>
        <v>0</v>
      </c>
      <c r="N11" s="4">
        <f t="shared" si="3"/>
        <v>-306.73993375942013</v>
      </c>
      <c r="P11" s="4">
        <f t="shared" si="4"/>
        <v>-306.73993375942013</v>
      </c>
    </row>
    <row r="12" spans="1:20" x14ac:dyDescent="0.2">
      <c r="A12" s="3" t="s">
        <v>10</v>
      </c>
      <c r="B12" s="3" t="s">
        <v>28</v>
      </c>
      <c r="C12" s="4">
        <f>'Paso 1.1'!N11</f>
        <v>-115</v>
      </c>
      <c r="D12" s="60">
        <f>SUM('Paso 4'!B11:N11)</f>
        <v>-147.73827678183432</v>
      </c>
      <c r="E12" s="4">
        <f t="shared" si="0"/>
        <v>-115</v>
      </c>
      <c r="F12" s="4">
        <f t="shared" si="1"/>
        <v>32.738276781834315</v>
      </c>
      <c r="H12" s="4">
        <f>F12</f>
        <v>32.738276781834315</v>
      </c>
      <c r="M12" s="4">
        <f t="shared" si="2"/>
        <v>0</v>
      </c>
      <c r="N12" s="4">
        <f t="shared" si="3"/>
        <v>-115</v>
      </c>
      <c r="P12" s="4">
        <f t="shared" si="4"/>
        <v>-115</v>
      </c>
    </row>
    <row r="13" spans="1:20" ht="13.5" thickBot="1" x14ac:dyDescent="0.25">
      <c r="A13" s="5" t="s">
        <v>11</v>
      </c>
      <c r="B13" s="7" t="s">
        <v>28</v>
      </c>
      <c r="C13" s="8">
        <f>'Paso 1.1'!N12</f>
        <v>0</v>
      </c>
      <c r="D13" s="6">
        <f>SUM('Paso 4'!B12:N12)</f>
        <v>-245.97299360645601</v>
      </c>
      <c r="E13" s="66">
        <f>'AUX-PID paso 5.2'!F2</f>
        <v>-344.91083850908069</v>
      </c>
      <c r="F13" s="8">
        <f t="shared" si="1"/>
        <v>-98.937844902624676</v>
      </c>
      <c r="G13" s="7"/>
      <c r="H13" s="7"/>
      <c r="I13" s="7"/>
      <c r="J13" s="7"/>
      <c r="K13" s="7"/>
      <c r="L13" s="8">
        <f>F13</f>
        <v>-98.937844902624676</v>
      </c>
      <c r="M13" s="8">
        <f t="shared" si="2"/>
        <v>0</v>
      </c>
      <c r="N13" s="8">
        <f t="shared" si="3"/>
        <v>-344.91083850908069</v>
      </c>
      <c r="O13" s="7"/>
      <c r="P13" s="8">
        <f t="shared" si="4"/>
        <v>-344.91083850908069</v>
      </c>
    </row>
    <row r="14" spans="1:20" x14ac:dyDescent="0.2">
      <c r="A14" s="3" t="s">
        <v>12</v>
      </c>
      <c r="C14" s="4">
        <f>'Paso 1.1'!N13</f>
        <v>-1000</v>
      </c>
      <c r="D14" s="4">
        <f>SUM('Paso 4'!B13:N13)</f>
        <v>-21881.353033042244</v>
      </c>
      <c r="E14" s="4">
        <f>D14</f>
        <v>-21881.353033042244</v>
      </c>
      <c r="F14" s="4">
        <f t="shared" si="1"/>
        <v>0</v>
      </c>
      <c r="N14" s="4">
        <f t="shared" si="3"/>
        <v>-21881.353033042244</v>
      </c>
      <c r="O14" s="4">
        <f>P14-N14</f>
        <v>20881.353033042244</v>
      </c>
      <c r="P14" s="4">
        <f>C14</f>
        <v>-1000</v>
      </c>
    </row>
    <row r="15" spans="1:20" x14ac:dyDescent="0.2">
      <c r="A15" s="3" t="s">
        <v>13</v>
      </c>
      <c r="C15" s="4">
        <f>'Paso 1.1'!N14</f>
        <v>-970</v>
      </c>
      <c r="D15" s="4">
        <f>SUM('Paso 4'!B14:N14)</f>
        <v>0</v>
      </c>
      <c r="E15" s="4">
        <f t="shared" ref="E15:E27" si="5">D15</f>
        <v>0</v>
      </c>
      <c r="F15" s="4">
        <f t="shared" si="1"/>
        <v>0</v>
      </c>
      <c r="N15" s="4">
        <f t="shared" si="3"/>
        <v>0</v>
      </c>
      <c r="O15" s="4">
        <f>-O14</f>
        <v>-20881.353033042244</v>
      </c>
      <c r="P15" s="4">
        <f>O15</f>
        <v>-20881.353033042244</v>
      </c>
    </row>
    <row r="16" spans="1:20" x14ac:dyDescent="0.2">
      <c r="A16" s="3" t="s">
        <v>14</v>
      </c>
      <c r="C16" s="4">
        <f>'Paso 1.1'!N15</f>
        <v>-187.5</v>
      </c>
      <c r="D16" s="4">
        <f>SUM('Paso 4'!B15:N15)</f>
        <v>-275.8673774703953</v>
      </c>
      <c r="E16" s="4">
        <f t="shared" si="5"/>
        <v>-275.8673774703953</v>
      </c>
      <c r="F16" s="4">
        <f t="shared" si="1"/>
        <v>0</v>
      </c>
      <c r="N16" s="4">
        <f t="shared" si="3"/>
        <v>-275.8673774703953</v>
      </c>
      <c r="O16" s="4">
        <f>P16-N16</f>
        <v>-0.96810390875594976</v>
      </c>
      <c r="P16" s="4">
        <f>-'AUX-Res-paso 6'!F4</f>
        <v>-276.83548137915125</v>
      </c>
    </row>
    <row r="17" spans="1:16" ht="13.5" thickBot="1" x14ac:dyDescent="0.25">
      <c r="A17" s="7" t="s">
        <v>15</v>
      </c>
      <c r="B17" s="7"/>
      <c r="C17" s="8">
        <f>'Paso 1.1'!N16</f>
        <v>-42.5</v>
      </c>
      <c r="D17" s="8">
        <f>SUM('Paso 4'!B16:N16)</f>
        <v>18093.650135477423</v>
      </c>
      <c r="E17" s="8">
        <f t="shared" si="5"/>
        <v>18093.650135477423</v>
      </c>
      <c r="F17" s="8">
        <f t="shared" si="1"/>
        <v>0</v>
      </c>
      <c r="G17" s="7"/>
      <c r="H17" s="7"/>
      <c r="I17" s="7"/>
      <c r="J17" s="7"/>
      <c r="K17" s="7"/>
      <c r="L17" s="7"/>
      <c r="M17" s="7"/>
      <c r="N17" s="8">
        <f t="shared" si="3"/>
        <v>18093.650135477423</v>
      </c>
      <c r="O17" s="8">
        <f>-O16</f>
        <v>0.96810390875594976</v>
      </c>
      <c r="P17" s="8">
        <f>N17+O17</f>
        <v>18094.618239386178</v>
      </c>
    </row>
    <row r="18" spans="1:16" x14ac:dyDescent="0.2">
      <c r="A18" s="3" t="s">
        <v>16</v>
      </c>
      <c r="C18" s="4">
        <f>'Paso 1.1'!N17</f>
        <v>-2305</v>
      </c>
      <c r="D18" s="4">
        <f>SUM('Paso 4'!B17:N17)</f>
        <v>-2774.8824246488689</v>
      </c>
      <c r="E18" s="4">
        <f t="shared" si="5"/>
        <v>-2774.8824246488689</v>
      </c>
      <c r="N18" s="4">
        <f>E18+SUM(G18:L18)</f>
        <v>-2774.8824246488689</v>
      </c>
      <c r="P18" s="4">
        <f>N18</f>
        <v>-2774.8824246488689</v>
      </c>
    </row>
    <row r="19" spans="1:16" x14ac:dyDescent="0.2">
      <c r="A19" s="3" t="s">
        <v>17</v>
      </c>
      <c r="C19" s="4">
        <f>-C18/1.3</f>
        <v>1773.0769230769231</v>
      </c>
      <c r="D19" s="4">
        <f>SUM('Paso 4'!B18:N18)</f>
        <v>0</v>
      </c>
      <c r="E19" s="4">
        <f>D19</f>
        <v>0</v>
      </c>
      <c r="G19" s="4"/>
      <c r="H19" s="4"/>
      <c r="I19" s="4"/>
      <c r="J19" s="4"/>
      <c r="K19" s="4"/>
      <c r="L19" s="4"/>
      <c r="M19" s="4"/>
      <c r="N19" s="4">
        <f t="shared" ref="N19:N27" si="6">E19+SUM(G19:L19)</f>
        <v>0</v>
      </c>
      <c r="O19" s="4">
        <f>E34</f>
        <v>2099.3095323437542</v>
      </c>
      <c r="P19" s="4">
        <f>N19+O19</f>
        <v>2099.3095323437542</v>
      </c>
    </row>
    <row r="20" spans="1:16" x14ac:dyDescent="0.2">
      <c r="A20" s="3" t="s">
        <v>18</v>
      </c>
      <c r="C20" s="4">
        <f>'Paso 1.1'!N19</f>
        <v>285</v>
      </c>
      <c r="D20" s="4">
        <f>SUM('Paso 4'!B19:N19)</f>
        <v>339.81881484125131</v>
      </c>
      <c r="E20" s="4">
        <f t="shared" si="5"/>
        <v>339.81881484125131</v>
      </c>
      <c r="G20" s="4"/>
      <c r="H20" s="4"/>
      <c r="I20" s="4"/>
      <c r="J20" s="4"/>
      <c r="K20" s="4"/>
      <c r="L20" s="4"/>
      <c r="M20" s="4"/>
      <c r="N20" s="4">
        <f t="shared" si="6"/>
        <v>339.81881484125131</v>
      </c>
      <c r="P20" s="4">
        <f t="shared" ref="P20:P27" si="7">N20</f>
        <v>339.81881484125131</v>
      </c>
    </row>
    <row r="21" spans="1:16" x14ac:dyDescent="0.2">
      <c r="A21" s="3" t="s">
        <v>19</v>
      </c>
      <c r="C21" s="4">
        <f>'Paso 1.1'!N20</f>
        <v>95.8</v>
      </c>
      <c r="D21" s="4">
        <f>SUM('Paso 4'!B20:N20)</f>
        <v>118.2543208024056</v>
      </c>
      <c r="E21" s="4">
        <f t="shared" si="5"/>
        <v>118.2543208024056</v>
      </c>
      <c r="G21" s="4"/>
      <c r="H21" s="4"/>
      <c r="I21" s="4"/>
      <c r="J21" s="4">
        <f>-SUM(J3:J13)</f>
        <v>143.47799788581847</v>
      </c>
      <c r="K21" s="4"/>
      <c r="L21" s="4"/>
      <c r="M21" s="4"/>
      <c r="N21" s="4">
        <f t="shared" si="6"/>
        <v>261.73231868822404</v>
      </c>
      <c r="P21" s="4">
        <f t="shared" si="7"/>
        <v>261.73231868822404</v>
      </c>
    </row>
    <row r="22" spans="1:16" x14ac:dyDescent="0.2">
      <c r="A22" s="3" t="s">
        <v>20</v>
      </c>
      <c r="C22" s="4">
        <f>'Paso 1.1'!N21</f>
        <v>-313</v>
      </c>
      <c r="D22" s="4">
        <f>SUM('Paso 4'!B21:N21)</f>
        <v>-398.24430964170449</v>
      </c>
      <c r="E22" s="4">
        <f t="shared" si="5"/>
        <v>-398.24430964170449</v>
      </c>
      <c r="G22" s="4"/>
      <c r="H22" s="4"/>
      <c r="I22" s="4">
        <f>-SUM(I3:I13)</f>
        <v>258.17197553976234</v>
      </c>
      <c r="J22" s="4"/>
      <c r="K22" s="4"/>
      <c r="L22" s="4"/>
      <c r="M22" s="4"/>
      <c r="N22" s="4">
        <f t="shared" si="6"/>
        <v>-140.07233410194215</v>
      </c>
      <c r="P22" s="4">
        <f t="shared" si="7"/>
        <v>-140.07233410194215</v>
      </c>
    </row>
    <row r="23" spans="1:16" x14ac:dyDescent="0.2">
      <c r="A23" s="3" t="s">
        <v>21</v>
      </c>
      <c r="C23" s="4">
        <v>-188</v>
      </c>
      <c r="D23" s="4">
        <f>SUM('Paso 4'!B22:N22)</f>
        <v>0</v>
      </c>
      <c r="E23" s="4">
        <f>D23</f>
        <v>0</v>
      </c>
      <c r="G23" s="4"/>
      <c r="H23" s="4"/>
      <c r="I23" s="4"/>
      <c r="J23" s="4"/>
      <c r="K23" s="4"/>
      <c r="L23" s="4"/>
      <c r="M23" s="4"/>
      <c r="N23" s="4">
        <f t="shared" si="6"/>
        <v>0</v>
      </c>
      <c r="O23" s="4">
        <f>-E32</f>
        <v>-135.7849024308735</v>
      </c>
      <c r="P23" s="4">
        <f>N23+O23</f>
        <v>-135.7849024308735</v>
      </c>
    </row>
    <row r="24" spans="1:16" x14ac:dyDescent="0.2">
      <c r="A24" s="3" t="s">
        <v>22</v>
      </c>
      <c r="C24" s="4">
        <f>'Paso 1.1'!N23</f>
        <v>137.03473578021385</v>
      </c>
      <c r="D24" s="4">
        <f>SUM('Paso 4'!B23:N23)</f>
        <v>161.40450343129402</v>
      </c>
      <c r="E24" s="4">
        <f t="shared" si="5"/>
        <v>161.40450343129402</v>
      </c>
      <c r="G24" s="4"/>
      <c r="H24" s="4"/>
      <c r="I24" s="4"/>
      <c r="J24" s="4"/>
      <c r="K24" s="4">
        <f>-SUM(K3:K13)</f>
        <v>-114.68553544135693</v>
      </c>
      <c r="L24" s="4"/>
      <c r="M24" s="4"/>
      <c r="N24" s="4">
        <f t="shared" si="6"/>
        <v>46.718967989937084</v>
      </c>
      <c r="P24" s="4">
        <f t="shared" si="7"/>
        <v>46.718967989937084</v>
      </c>
    </row>
    <row r="25" spans="1:16" x14ac:dyDescent="0.2">
      <c r="A25" s="3" t="s">
        <v>23</v>
      </c>
      <c r="C25" s="4">
        <f>'Paso 1.1'!N24</f>
        <v>115</v>
      </c>
      <c r="D25" s="60">
        <f>SUM('Paso 4'!B24:N24)</f>
        <v>136.15912151210031</v>
      </c>
      <c r="E25" s="4">
        <f t="shared" si="5"/>
        <v>136.15912151210031</v>
      </c>
      <c r="G25" s="4"/>
      <c r="H25" s="4"/>
      <c r="I25" s="4"/>
      <c r="J25" s="4"/>
      <c r="K25" s="4"/>
      <c r="L25" s="4">
        <f>-SUM(L3:L13)</f>
        <v>98.937844902624676</v>
      </c>
      <c r="M25" s="4"/>
      <c r="N25" s="4">
        <f t="shared" si="6"/>
        <v>235.09696641472499</v>
      </c>
      <c r="P25" s="4">
        <f t="shared" si="7"/>
        <v>235.09696641472499</v>
      </c>
    </row>
    <row r="26" spans="1:16" x14ac:dyDescent="0.2">
      <c r="A26" s="3" t="s">
        <v>25</v>
      </c>
      <c r="C26" s="4">
        <f>'Paso 1.1'!N25</f>
        <v>0</v>
      </c>
      <c r="D26" s="4">
        <f>SUM('Paso 4'!B25:N25)</f>
        <v>0</v>
      </c>
      <c r="E26" s="4">
        <f t="shared" si="5"/>
        <v>0</v>
      </c>
      <c r="G26" s="4">
        <f>-SUM(G3:G13)</f>
        <v>652.80853510318138</v>
      </c>
      <c r="H26" s="4"/>
      <c r="I26" s="4"/>
      <c r="J26" s="4"/>
      <c r="K26" s="4"/>
      <c r="L26" s="4"/>
      <c r="M26" s="4"/>
      <c r="N26" s="4">
        <f t="shared" si="6"/>
        <v>652.80853510318138</v>
      </c>
      <c r="P26" s="4">
        <f t="shared" si="7"/>
        <v>652.80853510318138</v>
      </c>
    </row>
    <row r="27" spans="1:16" x14ac:dyDescent="0.2">
      <c r="A27" s="3" t="s">
        <v>26</v>
      </c>
      <c r="C27" s="4">
        <f>'Paso 1.1'!N26</f>
        <v>0</v>
      </c>
      <c r="D27" s="4">
        <f>SUM('Paso 4'!B26:N26)</f>
        <v>0</v>
      </c>
      <c r="E27" s="4">
        <f t="shared" si="5"/>
        <v>0</v>
      </c>
      <c r="G27" s="4"/>
      <c r="H27" s="4">
        <f>-SUM(H3:H13)</f>
        <v>-156.07297891119947</v>
      </c>
      <c r="I27" s="4"/>
      <c r="J27" s="4"/>
      <c r="K27" s="4"/>
      <c r="L27" s="4"/>
      <c r="M27" s="4"/>
      <c r="N27" s="4">
        <f t="shared" si="6"/>
        <v>-156.07297891119947</v>
      </c>
      <c r="P27" s="4">
        <f t="shared" si="7"/>
        <v>-156.07297891119947</v>
      </c>
    </row>
    <row r="28" spans="1:16" x14ac:dyDescent="0.2">
      <c r="A28" s="9" t="s">
        <v>24</v>
      </c>
      <c r="B28" s="9"/>
      <c r="C28" s="61">
        <f t="shared" ref="C28:F28" si="8">ROUND(SUM(C3:C27),0)</f>
        <v>0</v>
      </c>
      <c r="D28" s="61">
        <f t="shared" si="8"/>
        <v>0</v>
      </c>
      <c r="E28" s="61">
        <f t="shared" si="8"/>
        <v>-883</v>
      </c>
      <c r="F28" s="61">
        <f t="shared" si="8"/>
        <v>-883</v>
      </c>
      <c r="G28" s="61">
        <f>ROUND(SUM(G3:G27),0)</f>
        <v>0</v>
      </c>
      <c r="H28" s="61">
        <f t="shared" ref="H28:N28" si="9">ROUND(SUM(H3:H27),0)</f>
        <v>0</v>
      </c>
      <c r="I28" s="61">
        <f t="shared" si="9"/>
        <v>0</v>
      </c>
      <c r="J28" s="61">
        <f t="shared" si="9"/>
        <v>0</v>
      </c>
      <c r="K28" s="61">
        <f t="shared" si="9"/>
        <v>0</v>
      </c>
      <c r="L28" s="61">
        <f t="shared" si="9"/>
        <v>0</v>
      </c>
      <c r="M28" s="61">
        <f t="shared" si="9"/>
        <v>0</v>
      </c>
      <c r="N28" s="61">
        <f t="shared" si="9"/>
        <v>0</v>
      </c>
      <c r="O28" s="61">
        <f t="shared" ref="O28" si="10">ROUND(SUM(O3:O27),0)</f>
        <v>0</v>
      </c>
      <c r="P28" s="61">
        <f t="shared" ref="P28" si="11">ROUND(SUM(P3:P27),0)</f>
        <v>0</v>
      </c>
    </row>
    <row r="30" spans="1:16" x14ac:dyDescent="0.2">
      <c r="A30" s="3" t="s">
        <v>70</v>
      </c>
      <c r="C30" s="4"/>
      <c r="E30" s="4">
        <f>'Paso 4'!B5</f>
        <v>243.61522361365309</v>
      </c>
    </row>
    <row r="31" spans="1:16" x14ac:dyDescent="0.2">
      <c r="A31" s="3" t="s">
        <v>5</v>
      </c>
      <c r="E31" s="4">
        <f>D7</f>
        <v>1889.9094062992276</v>
      </c>
    </row>
    <row r="32" spans="1:16" x14ac:dyDescent="0.2">
      <c r="A32" s="3" t="s">
        <v>21</v>
      </c>
      <c r="E32" s="4">
        <f>E34-E33-E31-E30</f>
        <v>135.7849024308735</v>
      </c>
    </row>
    <row r="33" spans="1:5" x14ac:dyDescent="0.2">
      <c r="A33" s="3" t="s">
        <v>71</v>
      </c>
      <c r="E33" s="4">
        <v>-170</v>
      </c>
    </row>
    <row r="34" spans="1:5" x14ac:dyDescent="0.2">
      <c r="A34" s="3" t="s">
        <v>17</v>
      </c>
      <c r="E34" s="4">
        <f>C19*'Paso 4'!R24</f>
        <v>2099.3095323437542</v>
      </c>
    </row>
  </sheetData>
  <conditionalFormatting sqref="E3">
    <cfRule type="containsBlanks" dxfId="1" priority="2">
      <formula>LEN(TRIM(E3))=0</formula>
    </cfRule>
  </conditionalFormatting>
  <conditionalFormatting sqref="E4:E13">
    <cfRule type="containsBlanks" dxfId="0" priority="1">
      <formula>LEN(TRIM(E4))=0</formula>
    </cfRule>
  </conditionalFormatting>
  <pageMargins left="0.7" right="0.7" top="0.75" bottom="0.75" header="0.3" footer="0.3"/>
  <pageSetup orientation="portrait" r:id="rId1"/>
  <ignoredErrors>
    <ignoredError sqref="O15 P18:P27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4" sqref="F4"/>
    </sheetView>
  </sheetViews>
  <sheetFormatPr baseColWidth="10" defaultRowHeight="15" x14ac:dyDescent="0.25"/>
  <cols>
    <col min="1" max="1" width="13.5703125" bestFit="1" customWidth="1"/>
    <col min="3" max="6" width="12.7109375" customWidth="1"/>
  </cols>
  <sheetData>
    <row r="1" spans="1:6" x14ac:dyDescent="0.25">
      <c r="A1" s="25" t="s">
        <v>14</v>
      </c>
      <c r="B1" s="25" t="s">
        <v>39</v>
      </c>
      <c r="C1" s="2" t="s">
        <v>33</v>
      </c>
      <c r="D1" s="2" t="s">
        <v>35</v>
      </c>
      <c r="E1" s="2" t="s">
        <v>36</v>
      </c>
      <c r="F1" s="2" t="s">
        <v>66</v>
      </c>
    </row>
    <row r="2" spans="1:6" x14ac:dyDescent="0.25">
      <c r="A2" s="26">
        <v>43070</v>
      </c>
      <c r="B2" s="68">
        <f>-[1]ES_INICIO!B15</f>
        <v>180</v>
      </c>
      <c r="C2">
        <f>'ipc empalme ipim'!$B$315</f>
        <v>184.2552</v>
      </c>
      <c r="D2">
        <f>VLOOKUP(A2,'ipc empalme ipim'!$A:$B,2,FALSE)</f>
        <v>124.79559999999999</v>
      </c>
      <c r="E2" s="67">
        <f>C2/D2</f>
        <v>1.4764559006888065</v>
      </c>
      <c r="F2" s="68">
        <f>B2*E2</f>
        <v>265.76206212398517</v>
      </c>
    </row>
    <row r="3" spans="1:6" x14ac:dyDescent="0.25">
      <c r="A3" s="26">
        <v>43070</v>
      </c>
      <c r="B3" s="68">
        <f>150*5%</f>
        <v>7.5</v>
      </c>
      <c r="C3">
        <f>'ipc empalme ipim'!$B$315</f>
        <v>184.2552</v>
      </c>
      <c r="D3">
        <f>VLOOKUP(A3,'ipc empalme ipim'!$A:$B,2,FALSE)</f>
        <v>124.79559999999999</v>
      </c>
      <c r="E3" s="67">
        <f>C3/D3</f>
        <v>1.4764559006888065</v>
      </c>
      <c r="F3" s="68">
        <f>B3*E3</f>
        <v>11.07341925516605</v>
      </c>
    </row>
    <row r="4" spans="1:6" x14ac:dyDescent="0.25">
      <c r="B4" s="69">
        <f>B2+B3</f>
        <v>187.5</v>
      </c>
      <c r="F4" s="68">
        <f>SUM(F2:F3)</f>
        <v>276.83548137915125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workbookViewId="0">
      <selection activeCell="H13" sqref="H13"/>
    </sheetView>
  </sheetViews>
  <sheetFormatPr baseColWidth="10" defaultRowHeight="15" x14ac:dyDescent="0.25"/>
  <cols>
    <col min="1" max="1" width="94.28515625" bestFit="1" customWidth="1"/>
    <col min="2" max="2" width="12.7109375" customWidth="1"/>
  </cols>
  <sheetData>
    <row r="1" spans="1:4" x14ac:dyDescent="0.25">
      <c r="A1" s="106" t="s">
        <v>126</v>
      </c>
      <c r="B1" s="107"/>
      <c r="C1" s="133"/>
      <c r="D1" s="134"/>
    </row>
    <row r="2" spans="1:4" x14ac:dyDescent="0.25">
      <c r="A2" s="110" t="s">
        <v>83</v>
      </c>
      <c r="B2" s="111"/>
      <c r="C2" s="135"/>
      <c r="D2" s="136"/>
    </row>
    <row r="3" spans="1:4" x14ac:dyDescent="0.25">
      <c r="A3" s="110"/>
      <c r="B3" s="111"/>
      <c r="C3" s="135"/>
      <c r="D3" s="136"/>
    </row>
    <row r="4" spans="1:4" x14ac:dyDescent="0.25">
      <c r="A4" s="110" t="s">
        <v>84</v>
      </c>
      <c r="B4" s="111"/>
      <c r="C4" s="135"/>
      <c r="D4" s="136"/>
    </row>
    <row r="5" spans="1:4" x14ac:dyDescent="0.25">
      <c r="A5" s="110" t="s">
        <v>113</v>
      </c>
      <c r="B5" s="111"/>
      <c r="C5" s="135"/>
      <c r="D5" s="136"/>
    </row>
    <row r="6" spans="1:4" x14ac:dyDescent="0.25">
      <c r="A6" s="110" t="s">
        <v>86</v>
      </c>
      <c r="B6" s="111"/>
      <c r="C6" s="135"/>
      <c r="D6" s="136"/>
    </row>
    <row r="7" spans="1:4" x14ac:dyDescent="0.25">
      <c r="A7" s="137"/>
      <c r="B7" s="135"/>
      <c r="C7" s="115">
        <v>43830</v>
      </c>
      <c r="D7" s="136"/>
    </row>
    <row r="8" spans="1:4" ht="15.75" thickBot="1" x14ac:dyDescent="0.3">
      <c r="A8" s="137"/>
      <c r="B8" s="117" t="s">
        <v>112</v>
      </c>
      <c r="C8" s="74">
        <v>2018</v>
      </c>
      <c r="D8" s="136"/>
    </row>
    <row r="9" spans="1:4" x14ac:dyDescent="0.25">
      <c r="A9" s="114" t="s">
        <v>16</v>
      </c>
      <c r="B9" s="112"/>
      <c r="C9" s="101">
        <f>-Saldos_base_presentac!C18</f>
        <v>2774.8824246488689</v>
      </c>
      <c r="D9" s="136"/>
    </row>
    <row r="10" spans="1:4" ht="15.75" thickBot="1" x14ac:dyDescent="0.3">
      <c r="A10" s="121" t="s">
        <v>17</v>
      </c>
      <c r="B10" s="100"/>
      <c r="C10" s="76">
        <f>-Saldos_base_presentac!C19</f>
        <v>-2099.3095323437542</v>
      </c>
      <c r="D10" s="136"/>
    </row>
    <row r="11" spans="1:4" x14ac:dyDescent="0.25">
      <c r="A11" s="110" t="s">
        <v>114</v>
      </c>
      <c r="B11" s="111"/>
      <c r="C11" s="128">
        <f>SUM(C9:C10)</f>
        <v>675.57289230511469</v>
      </c>
      <c r="D11" s="136"/>
    </row>
    <row r="12" spans="1:4" x14ac:dyDescent="0.25">
      <c r="A12" s="137"/>
      <c r="B12" s="135"/>
      <c r="C12" s="101"/>
      <c r="D12" s="136"/>
    </row>
    <row r="13" spans="1:4" x14ac:dyDescent="0.25">
      <c r="A13" s="114" t="s">
        <v>115</v>
      </c>
      <c r="B13" s="112"/>
      <c r="C13" s="101">
        <f>-Saldos_base_presentac!C20-Saldos_base_presentac!C21</f>
        <v>-601.55113352947535</v>
      </c>
      <c r="D13" s="136"/>
    </row>
    <row r="14" spans="1:4" x14ac:dyDescent="0.25">
      <c r="A14" s="137"/>
      <c r="B14" s="135"/>
      <c r="C14" s="101"/>
      <c r="D14" s="136"/>
    </row>
    <row r="15" spans="1:4" x14ac:dyDescent="0.25">
      <c r="A15" s="114" t="s">
        <v>116</v>
      </c>
      <c r="B15" s="112"/>
      <c r="C15" s="101"/>
      <c r="D15" s="136"/>
    </row>
    <row r="16" spans="1:4" x14ac:dyDescent="0.25">
      <c r="A16" s="138" t="s">
        <v>123</v>
      </c>
      <c r="B16" s="139"/>
      <c r="C16" s="101"/>
      <c r="D16" s="136"/>
    </row>
    <row r="17" spans="1:4" x14ac:dyDescent="0.25">
      <c r="A17" s="114" t="s">
        <v>117</v>
      </c>
      <c r="B17" s="112"/>
      <c r="C17" s="101">
        <f>-Saldos_base_presentac!C22</f>
        <v>140.07233410194215</v>
      </c>
      <c r="D17" s="136"/>
    </row>
    <row r="18" spans="1:4" x14ac:dyDescent="0.25">
      <c r="A18" s="114" t="s">
        <v>118</v>
      </c>
      <c r="B18" s="112"/>
      <c r="C18" s="101">
        <f>-Saldos_base_presentac!C23</f>
        <v>135.7849024308735</v>
      </c>
      <c r="D18" s="136"/>
    </row>
    <row r="19" spans="1:4" x14ac:dyDescent="0.25">
      <c r="A19" s="114" t="s">
        <v>119</v>
      </c>
      <c r="B19" s="112"/>
      <c r="C19" s="101">
        <f>-Saldos_base_presentac!C26</f>
        <v>-652.80853510318138</v>
      </c>
      <c r="D19" s="136"/>
    </row>
    <row r="20" spans="1:4" x14ac:dyDescent="0.25">
      <c r="A20" s="138" t="s">
        <v>124</v>
      </c>
      <c r="B20" s="139"/>
      <c r="C20" s="101"/>
      <c r="D20" s="136"/>
    </row>
    <row r="21" spans="1:4" x14ac:dyDescent="0.25">
      <c r="A21" s="114" t="s">
        <v>120</v>
      </c>
      <c r="B21" s="112"/>
      <c r="C21" s="101">
        <f>-Saldos_base_presentac!C24</f>
        <v>-46.718967989937084</v>
      </c>
      <c r="D21" s="136"/>
    </row>
    <row r="22" spans="1:4" x14ac:dyDescent="0.25">
      <c r="A22" s="114" t="s">
        <v>119</v>
      </c>
      <c r="B22" s="112"/>
      <c r="C22" s="101">
        <f>-Saldos_base_presentac!C27</f>
        <v>156.07297891119947</v>
      </c>
      <c r="D22" s="136"/>
    </row>
    <row r="23" spans="1:4" ht="15.75" thickBot="1" x14ac:dyDescent="0.3">
      <c r="A23" s="121"/>
      <c r="B23" s="100"/>
      <c r="C23" s="76"/>
      <c r="D23" s="136"/>
    </row>
    <row r="24" spans="1:4" x14ac:dyDescent="0.25">
      <c r="A24" s="110" t="s">
        <v>121</v>
      </c>
      <c r="B24" s="111"/>
      <c r="C24" s="128">
        <f>SUM(C11:C22)</f>
        <v>-193.57552887346401</v>
      </c>
      <c r="D24" s="136"/>
    </row>
    <row r="25" spans="1:4" x14ac:dyDescent="0.25">
      <c r="A25" s="137"/>
      <c r="B25" s="135"/>
      <c r="C25" s="101"/>
      <c r="D25" s="136"/>
    </row>
    <row r="26" spans="1:4" x14ac:dyDescent="0.25">
      <c r="A26" s="114" t="s">
        <v>23</v>
      </c>
      <c r="B26" s="112"/>
      <c r="C26" s="101">
        <f>-Saldos_base_presentac!C25</f>
        <v>-235.09696641472499</v>
      </c>
      <c r="D26" s="136"/>
    </row>
    <row r="27" spans="1:4" x14ac:dyDescent="0.25">
      <c r="A27" s="137"/>
      <c r="B27" s="135"/>
      <c r="C27" s="101"/>
      <c r="D27" s="136"/>
    </row>
    <row r="28" spans="1:4" ht="15.75" thickBot="1" x14ac:dyDescent="0.3">
      <c r="A28" s="130" t="s">
        <v>122</v>
      </c>
      <c r="B28" s="98"/>
      <c r="C28" s="99">
        <f>C24+C26</f>
        <v>-428.672495288189</v>
      </c>
      <c r="D28" s="136"/>
    </row>
    <row r="29" spans="1:4" x14ac:dyDescent="0.25">
      <c r="A29" s="137"/>
      <c r="B29" s="135"/>
      <c r="C29" s="101"/>
      <c r="D29" s="136"/>
    </row>
    <row r="30" spans="1:4" x14ac:dyDescent="0.25">
      <c r="A30" s="137"/>
      <c r="B30" s="135"/>
      <c r="C30" s="101"/>
      <c r="D30" s="136"/>
    </row>
    <row r="31" spans="1:4" ht="15.75" thickBot="1" x14ac:dyDescent="0.3">
      <c r="A31" s="140"/>
      <c r="B31" s="141"/>
      <c r="C31" s="76"/>
      <c r="D31" s="142"/>
    </row>
    <row r="32" spans="1:4" x14ac:dyDescent="0.25">
      <c r="C32" s="75"/>
    </row>
    <row r="33" spans="3:3" x14ac:dyDescent="0.25">
      <c r="C33" s="75"/>
    </row>
    <row r="34" spans="3:3" x14ac:dyDescent="0.25">
      <c r="C34" s="75"/>
    </row>
    <row r="35" spans="3:3" x14ac:dyDescent="0.25">
      <c r="C35" s="75"/>
    </row>
    <row r="36" spans="3:3" x14ac:dyDescent="0.25">
      <c r="C36" s="75"/>
    </row>
    <row r="37" spans="3:3" x14ac:dyDescent="0.25">
      <c r="C37" s="75"/>
    </row>
    <row r="38" spans="3:3" x14ac:dyDescent="0.25">
      <c r="C38" s="75"/>
    </row>
    <row r="39" spans="3:3" x14ac:dyDescent="0.25">
      <c r="C39" s="75"/>
    </row>
    <row r="40" spans="3:3" x14ac:dyDescent="0.25">
      <c r="C40" s="75"/>
    </row>
    <row r="41" spans="3:3" x14ac:dyDescent="0.25">
      <c r="C41" s="75"/>
    </row>
    <row r="42" spans="3:3" x14ac:dyDescent="0.25">
      <c r="C42" s="75"/>
    </row>
    <row r="43" spans="3:3" x14ac:dyDescent="0.25">
      <c r="C43" s="75"/>
    </row>
    <row r="44" spans="3:3" x14ac:dyDescent="0.25">
      <c r="C44" s="75"/>
    </row>
    <row r="45" spans="3:3" x14ac:dyDescent="0.25">
      <c r="C45" s="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>
      <selection activeCell="G16" sqref="G16"/>
    </sheetView>
  </sheetViews>
  <sheetFormatPr baseColWidth="10" defaultRowHeight="14.25" x14ac:dyDescent="0.2"/>
  <cols>
    <col min="1" max="1" width="94.28515625" style="35" bestFit="1" customWidth="1"/>
    <col min="2" max="8" width="12.7109375" style="35" customWidth="1"/>
    <col min="9" max="16384" width="11.42578125" style="35"/>
  </cols>
  <sheetData>
    <row r="1" spans="1:9" ht="15" x14ac:dyDescent="0.25">
      <c r="A1" s="106" t="s">
        <v>125</v>
      </c>
      <c r="B1" s="108"/>
      <c r="C1" s="108"/>
      <c r="D1" s="108"/>
      <c r="E1" s="108"/>
      <c r="F1" s="108"/>
      <c r="G1" s="108"/>
      <c r="H1" s="108"/>
      <c r="I1" s="109"/>
    </row>
    <row r="2" spans="1:9" ht="15" x14ac:dyDescent="0.25">
      <c r="A2" s="110" t="s">
        <v>83</v>
      </c>
      <c r="B2" s="112"/>
      <c r="C2" s="112"/>
      <c r="D2" s="112"/>
      <c r="E2" s="112"/>
      <c r="F2" s="112"/>
      <c r="G2" s="112"/>
      <c r="H2" s="112"/>
      <c r="I2" s="113"/>
    </row>
    <row r="3" spans="1:9" ht="15" x14ac:dyDescent="0.25">
      <c r="A3" s="110"/>
      <c r="B3" s="112"/>
      <c r="C3" s="112"/>
      <c r="D3" s="112"/>
      <c r="E3" s="112"/>
      <c r="F3" s="112"/>
      <c r="G3" s="112"/>
      <c r="H3" s="112"/>
      <c r="I3" s="113"/>
    </row>
    <row r="4" spans="1:9" ht="15" x14ac:dyDescent="0.25">
      <c r="A4" s="110" t="s">
        <v>84</v>
      </c>
      <c r="B4" s="112"/>
      <c r="C4" s="112"/>
      <c r="D4" s="112"/>
      <c r="E4" s="112"/>
      <c r="F4" s="112"/>
      <c r="G4" s="112"/>
      <c r="H4" s="112"/>
      <c r="I4" s="113"/>
    </row>
    <row r="5" spans="1:9" ht="15" x14ac:dyDescent="0.25">
      <c r="A5" s="110" t="s">
        <v>85</v>
      </c>
      <c r="B5" s="112"/>
      <c r="C5" s="112"/>
      <c r="D5" s="112"/>
      <c r="E5" s="112"/>
      <c r="F5" s="112"/>
      <c r="G5" s="112"/>
      <c r="H5" s="112"/>
      <c r="I5" s="113"/>
    </row>
    <row r="6" spans="1:9" ht="15" x14ac:dyDescent="0.25">
      <c r="A6" s="110" t="s">
        <v>86</v>
      </c>
      <c r="B6" s="112"/>
      <c r="C6" s="112"/>
      <c r="D6" s="112"/>
      <c r="E6" s="112"/>
      <c r="F6" s="112"/>
      <c r="G6" s="112"/>
      <c r="H6" s="112"/>
      <c r="I6" s="113"/>
    </row>
    <row r="7" spans="1:9" x14ac:dyDescent="0.2">
      <c r="A7" s="114"/>
      <c r="B7" s="112"/>
      <c r="C7" s="112"/>
      <c r="D7" s="112"/>
      <c r="E7" s="112"/>
      <c r="F7" s="112"/>
      <c r="G7" s="112"/>
      <c r="H7" s="112"/>
      <c r="I7" s="113"/>
    </row>
    <row r="8" spans="1:9" x14ac:dyDescent="0.2">
      <c r="A8" s="114"/>
      <c r="B8" s="132"/>
      <c r="C8" s="132" t="s">
        <v>132</v>
      </c>
      <c r="D8" s="132" t="s">
        <v>133</v>
      </c>
      <c r="E8" s="132" t="s">
        <v>135</v>
      </c>
      <c r="F8" s="132" t="s">
        <v>136</v>
      </c>
      <c r="G8" s="132" t="s">
        <v>138</v>
      </c>
      <c r="H8" s="132" t="s">
        <v>139</v>
      </c>
      <c r="I8" s="113"/>
    </row>
    <row r="9" spans="1:9" ht="15" thickBot="1" x14ac:dyDescent="0.25">
      <c r="A9" s="114"/>
      <c r="B9" s="102" t="s">
        <v>12</v>
      </c>
      <c r="C9" s="102" t="s">
        <v>12</v>
      </c>
      <c r="D9" s="102" t="s">
        <v>134</v>
      </c>
      <c r="E9" s="102" t="s">
        <v>140</v>
      </c>
      <c r="F9" s="102" t="s">
        <v>137</v>
      </c>
      <c r="G9" s="102" t="s">
        <v>136</v>
      </c>
      <c r="H9" s="102" t="s">
        <v>190</v>
      </c>
      <c r="I9" s="113"/>
    </row>
    <row r="10" spans="1:9" x14ac:dyDescent="0.2">
      <c r="A10" s="114" t="s">
        <v>127</v>
      </c>
      <c r="B10" s="101">
        <f>-Saldos_base_presentac!C14</f>
        <v>1000</v>
      </c>
      <c r="C10" s="101">
        <f>-Saldos_base_presentac!D14+Saldos_base_presentac!C14</f>
        <v>20881.353033042244</v>
      </c>
      <c r="D10" s="101">
        <f>B10+C10</f>
        <v>21881.353033042244</v>
      </c>
      <c r="E10" s="101">
        <f>-Saldos_base_presentac!D16</f>
        <v>265.76206212398517</v>
      </c>
      <c r="F10" s="101">
        <f>-Saldos_base_presentac!D17</f>
        <v>-17275.119592418203</v>
      </c>
      <c r="G10" s="101">
        <f>E10+F10</f>
        <v>-17009.357530294219</v>
      </c>
      <c r="H10" s="101">
        <f>D10+G10</f>
        <v>4871.9955027480246</v>
      </c>
      <c r="I10" s="113"/>
    </row>
    <row r="11" spans="1:9" x14ac:dyDescent="0.2">
      <c r="A11" s="114"/>
      <c r="B11" s="101"/>
      <c r="C11" s="101"/>
      <c r="D11" s="101"/>
      <c r="E11" s="101"/>
      <c r="F11" s="101"/>
      <c r="G11" s="101"/>
      <c r="H11" s="101"/>
      <c r="I11" s="113"/>
    </row>
    <row r="12" spans="1:9" x14ac:dyDescent="0.2">
      <c r="A12" s="114" t="s">
        <v>128</v>
      </c>
      <c r="B12" s="101"/>
      <c r="C12" s="101"/>
      <c r="D12" s="101"/>
      <c r="E12" s="101"/>
      <c r="F12" s="101"/>
      <c r="G12" s="101"/>
      <c r="H12" s="101"/>
      <c r="I12" s="113"/>
    </row>
    <row r="13" spans="1:9" x14ac:dyDescent="0.2">
      <c r="A13" s="114" t="s">
        <v>129</v>
      </c>
      <c r="B13" s="101"/>
      <c r="C13" s="101"/>
      <c r="D13" s="101"/>
      <c r="E13" s="101">
        <f>'AUX-Res-paso 6'!F3</f>
        <v>11.07341925516605</v>
      </c>
      <c r="F13" s="101">
        <f>-E13</f>
        <v>-11.07341925516605</v>
      </c>
      <c r="G13" s="101"/>
      <c r="H13" s="101"/>
      <c r="I13" s="113"/>
    </row>
    <row r="14" spans="1:9" x14ac:dyDescent="0.2">
      <c r="A14" s="114" t="s">
        <v>141</v>
      </c>
      <c r="B14" s="101"/>
      <c r="C14" s="101"/>
      <c r="D14" s="101"/>
      <c r="E14" s="101"/>
      <c r="F14" s="101">
        <f>-600*'ipc empalme ipim'!B315/'ipc empalme ipim'!B307</f>
        <v>-808.42522771280971</v>
      </c>
      <c r="G14" s="101">
        <f>F14</f>
        <v>-808.42522771280971</v>
      </c>
      <c r="H14" s="101">
        <f>G14</f>
        <v>-808.42522771280971</v>
      </c>
      <c r="I14" s="113"/>
    </row>
    <row r="15" spans="1:9" x14ac:dyDescent="0.2">
      <c r="A15" s="114"/>
      <c r="B15" s="101"/>
      <c r="C15" s="101"/>
      <c r="D15" s="101"/>
      <c r="E15" s="101"/>
      <c r="F15" s="101"/>
      <c r="G15" s="101"/>
      <c r="H15" s="101"/>
      <c r="I15" s="113"/>
    </row>
    <row r="16" spans="1:9" x14ac:dyDescent="0.2">
      <c r="A16" s="114" t="s">
        <v>130</v>
      </c>
      <c r="B16" s="101"/>
      <c r="C16" s="101"/>
      <c r="D16" s="101"/>
      <c r="E16" s="101"/>
      <c r="F16" s="101">
        <f>EERR!C28</f>
        <v>-428.672495288189</v>
      </c>
      <c r="G16" s="101">
        <f>F16</f>
        <v>-428.672495288189</v>
      </c>
      <c r="H16" s="101">
        <f>G16</f>
        <v>-428.672495288189</v>
      </c>
      <c r="I16" s="113"/>
    </row>
    <row r="17" spans="1:9" x14ac:dyDescent="0.2">
      <c r="A17" s="114"/>
      <c r="B17" s="101"/>
      <c r="C17" s="101"/>
      <c r="D17" s="101"/>
      <c r="E17" s="101"/>
      <c r="F17" s="101"/>
      <c r="G17" s="101"/>
      <c r="H17" s="101"/>
      <c r="I17" s="113"/>
    </row>
    <row r="18" spans="1:9" ht="15.75" thickBot="1" x14ac:dyDescent="0.3">
      <c r="A18" s="130" t="s">
        <v>131</v>
      </c>
      <c r="B18" s="99">
        <f>SUM(B10:B17)</f>
        <v>1000</v>
      </c>
      <c r="C18" s="99">
        <f>SUM(C10:C17)</f>
        <v>20881.353033042244</v>
      </c>
      <c r="D18" s="99">
        <f>B18+C18</f>
        <v>21881.353033042244</v>
      </c>
      <c r="E18" s="99">
        <f>SUM(E10:E17)</f>
        <v>276.83548137915125</v>
      </c>
      <c r="F18" s="99">
        <f>SUM(F10:F17)</f>
        <v>-18523.290734674367</v>
      </c>
      <c r="G18" s="99">
        <f>E18+F18</f>
        <v>-18246.455253295215</v>
      </c>
      <c r="H18" s="99">
        <f>D18+G18</f>
        <v>3634.8977797470288</v>
      </c>
      <c r="I18" s="113"/>
    </row>
    <row r="19" spans="1:9" x14ac:dyDescent="0.2">
      <c r="A19" s="114"/>
      <c r="B19" s="101"/>
      <c r="C19" s="101"/>
      <c r="D19" s="101"/>
      <c r="E19" s="101"/>
      <c r="F19" s="101">
        <f>F18+Saldos_base_presentac!C17+SUM(Saldos_base_presentac!C18:C27)</f>
        <v>0</v>
      </c>
      <c r="G19" s="101"/>
      <c r="H19" s="101">
        <f>H18-ESP!C35</f>
        <v>0</v>
      </c>
      <c r="I19" s="113"/>
    </row>
    <row r="20" spans="1:9" ht="15" thickBot="1" x14ac:dyDescent="0.25">
      <c r="A20" s="121"/>
      <c r="B20" s="76"/>
      <c r="C20" s="76"/>
      <c r="D20" s="76"/>
      <c r="E20" s="76"/>
      <c r="F20" s="76"/>
      <c r="G20" s="76"/>
      <c r="H20" s="76"/>
      <c r="I20" s="131"/>
    </row>
    <row r="21" spans="1:9" x14ac:dyDescent="0.2">
      <c r="B21" s="75"/>
      <c r="C21" s="75"/>
      <c r="D21" s="75"/>
      <c r="E21" s="75"/>
      <c r="F21" s="75"/>
      <c r="G21" s="75"/>
      <c r="H21" s="75"/>
    </row>
    <row r="22" spans="1:9" x14ac:dyDescent="0.2">
      <c r="B22" s="75"/>
      <c r="C22" s="75"/>
      <c r="D22" s="75"/>
      <c r="E22" s="75"/>
      <c r="F22" s="75"/>
      <c r="G22" s="75"/>
      <c r="H22" s="7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showGridLines="0" topLeftCell="A19" workbookViewId="0">
      <selection activeCell="A58" sqref="A58"/>
    </sheetView>
  </sheetViews>
  <sheetFormatPr baseColWidth="10" defaultRowHeight="14.25" x14ac:dyDescent="0.2"/>
  <cols>
    <col min="1" max="1" width="94.28515625" style="35" bestFit="1" customWidth="1"/>
    <col min="2" max="16384" width="11.42578125" style="35"/>
  </cols>
  <sheetData>
    <row r="1" spans="1:4" ht="15" x14ac:dyDescent="0.25">
      <c r="A1" s="106" t="s">
        <v>142</v>
      </c>
      <c r="B1" s="107"/>
      <c r="C1" s="108"/>
      <c r="D1" s="109"/>
    </row>
    <row r="2" spans="1:4" ht="15" x14ac:dyDescent="0.25">
      <c r="A2" s="110" t="s">
        <v>83</v>
      </c>
      <c r="B2" s="111"/>
      <c r="C2" s="112"/>
      <c r="D2" s="113"/>
    </row>
    <row r="3" spans="1:4" ht="15" x14ac:dyDescent="0.25">
      <c r="A3" s="110"/>
      <c r="B3" s="111"/>
      <c r="C3" s="112"/>
      <c r="D3" s="113"/>
    </row>
    <row r="4" spans="1:4" ht="15" x14ac:dyDescent="0.25">
      <c r="A4" s="110" t="s">
        <v>84</v>
      </c>
      <c r="B4" s="111"/>
      <c r="C4" s="112"/>
      <c r="D4" s="113"/>
    </row>
    <row r="5" spans="1:4" ht="15" x14ac:dyDescent="0.25">
      <c r="A5" s="110" t="s">
        <v>113</v>
      </c>
      <c r="B5" s="111"/>
      <c r="C5" s="112"/>
      <c r="D5" s="113"/>
    </row>
    <row r="6" spans="1:4" ht="15" x14ac:dyDescent="0.25">
      <c r="A6" s="110" t="s">
        <v>86</v>
      </c>
      <c r="B6" s="111"/>
      <c r="C6" s="112"/>
      <c r="D6" s="113"/>
    </row>
    <row r="7" spans="1:4" ht="15" x14ac:dyDescent="0.25">
      <c r="A7" s="114"/>
      <c r="B7" s="112"/>
      <c r="C7" s="115">
        <v>43830</v>
      </c>
      <c r="D7" s="116"/>
    </row>
    <row r="8" spans="1:4" ht="15.75" thickBot="1" x14ac:dyDescent="0.3">
      <c r="A8" s="114"/>
      <c r="B8" s="117" t="s">
        <v>112</v>
      </c>
      <c r="C8" s="74">
        <v>2018</v>
      </c>
      <c r="D8" s="118"/>
    </row>
    <row r="9" spans="1:4" x14ac:dyDescent="0.2">
      <c r="A9" s="114"/>
      <c r="B9" s="112"/>
      <c r="C9" s="112"/>
      <c r="D9" s="113"/>
    </row>
    <row r="10" spans="1:4" ht="15" x14ac:dyDescent="0.25">
      <c r="A10" s="119" t="s">
        <v>146</v>
      </c>
      <c r="B10" s="112"/>
      <c r="C10" s="112"/>
      <c r="D10" s="113"/>
    </row>
    <row r="11" spans="1:4" x14ac:dyDescent="0.2">
      <c r="A11" s="114" t="s">
        <v>147</v>
      </c>
      <c r="B11" s="112"/>
      <c r="C11" s="101">
        <f>ESP!D10</f>
        <v>2823.4266188872048</v>
      </c>
      <c r="D11" s="120"/>
    </row>
    <row r="12" spans="1:4" ht="15" thickBot="1" x14ac:dyDescent="0.25">
      <c r="A12" s="121" t="s">
        <v>148</v>
      </c>
      <c r="B12" s="100"/>
      <c r="C12" s="76">
        <f>ESP!C10</f>
        <v>1831.0051979792067</v>
      </c>
      <c r="D12" s="120"/>
    </row>
    <row r="13" spans="1:4" ht="15" x14ac:dyDescent="0.25">
      <c r="A13" s="122" t="s">
        <v>149</v>
      </c>
      <c r="B13" s="123"/>
      <c r="C13" s="124">
        <f>C12-C11</f>
        <v>-992.42142090799803</v>
      </c>
      <c r="D13" s="125"/>
    </row>
    <row r="14" spans="1:4" x14ac:dyDescent="0.2">
      <c r="A14" s="114"/>
      <c r="B14" s="112"/>
      <c r="C14" s="112"/>
      <c r="D14" s="113"/>
    </row>
    <row r="15" spans="1:4" ht="15" x14ac:dyDescent="0.25">
      <c r="A15" s="110" t="s">
        <v>150</v>
      </c>
      <c r="B15" s="112"/>
      <c r="C15" s="112"/>
      <c r="D15" s="113"/>
    </row>
    <row r="16" spans="1:4" x14ac:dyDescent="0.2">
      <c r="A16" s="114"/>
      <c r="B16" s="112"/>
      <c r="C16" s="112"/>
      <c r="D16" s="113"/>
    </row>
    <row r="17" spans="1:19" ht="15" x14ac:dyDescent="0.25">
      <c r="A17" s="119" t="s">
        <v>151</v>
      </c>
      <c r="B17" s="112"/>
      <c r="C17" s="112"/>
      <c r="D17" s="113"/>
    </row>
    <row r="18" spans="1:19" x14ac:dyDescent="0.2">
      <c r="A18" s="114" t="s">
        <v>122</v>
      </c>
      <c r="B18" s="112"/>
      <c r="C18" s="101">
        <v>-428.672495288189</v>
      </c>
      <c r="D18" s="120"/>
    </row>
    <row r="19" spans="1:19" x14ac:dyDescent="0.2">
      <c r="A19" s="114" t="s">
        <v>23</v>
      </c>
      <c r="B19" s="112"/>
      <c r="C19" s="101">
        <v>235.09696641472499</v>
      </c>
      <c r="D19" s="120"/>
    </row>
    <row r="20" spans="1:19" x14ac:dyDescent="0.2">
      <c r="A20" s="114" t="s">
        <v>143</v>
      </c>
      <c r="B20" s="112"/>
      <c r="C20" s="101">
        <v>46.718967989937084</v>
      </c>
      <c r="D20" s="120"/>
    </row>
    <row r="21" spans="1:19" x14ac:dyDescent="0.2">
      <c r="A21" s="114" t="s">
        <v>144</v>
      </c>
      <c r="B21" s="112"/>
      <c r="C21" s="101">
        <v>-146.85656088352692</v>
      </c>
      <c r="D21" s="120"/>
    </row>
    <row r="22" spans="1:19" x14ac:dyDescent="0.2">
      <c r="A22" s="114" t="s">
        <v>145</v>
      </c>
      <c r="B22" s="112"/>
      <c r="C22" s="101"/>
      <c r="D22" s="120"/>
    </row>
    <row r="23" spans="1:19" x14ac:dyDescent="0.2">
      <c r="A23" s="114" t="s">
        <v>19</v>
      </c>
      <c r="B23" s="112"/>
      <c r="C23" s="101">
        <v>261.73231868822404</v>
      </c>
      <c r="D23" s="126"/>
    </row>
    <row r="24" spans="1:19" x14ac:dyDescent="0.2">
      <c r="A24" s="114" t="s">
        <v>152</v>
      </c>
      <c r="B24" s="112"/>
      <c r="C24" s="127">
        <v>503.51978297356777</v>
      </c>
      <c r="D24" s="126"/>
    </row>
    <row r="25" spans="1:19" x14ac:dyDescent="0.2">
      <c r="A25" s="114" t="s">
        <v>163</v>
      </c>
      <c r="B25" s="112"/>
      <c r="C25" s="101"/>
      <c r="D25" s="126"/>
      <c r="L25" s="35" t="s">
        <v>100</v>
      </c>
      <c r="M25" s="35" t="s">
        <v>12</v>
      </c>
      <c r="N25" s="35" t="s">
        <v>143</v>
      </c>
    </row>
    <row r="26" spans="1:19" x14ac:dyDescent="0.2">
      <c r="A26" s="114" t="s">
        <v>164</v>
      </c>
      <c r="B26" s="112"/>
      <c r="C26" s="101">
        <v>6.4900318092313682</v>
      </c>
      <c r="D26" s="126"/>
      <c r="E26" s="80">
        <v>43191</v>
      </c>
      <c r="F26" s="79">
        <v>-350</v>
      </c>
      <c r="G26" s="79"/>
      <c r="H26" s="79"/>
      <c r="I26" s="79"/>
      <c r="J26" s="89">
        <v>350</v>
      </c>
      <c r="L26" s="75">
        <f>-F26</f>
        <v>350</v>
      </c>
      <c r="O26" s="35">
        <f>'ipc empalme ipim'!$B$315</f>
        <v>184.2552</v>
      </c>
      <c r="P26" s="35">
        <f>VLOOKUP(E26,'ipc empalme ipim'!$A:$B,2,FALSE)</f>
        <v>136.75120000000001</v>
      </c>
      <c r="Q26" s="35">
        <f>L26*O26/P26</f>
        <v>471.58138283247234</v>
      </c>
    </row>
    <row r="27" spans="1:19" x14ac:dyDescent="0.2">
      <c r="A27" s="114" t="s">
        <v>4</v>
      </c>
      <c r="B27" s="112"/>
      <c r="C27" s="101">
        <v>73.615223613653143</v>
      </c>
      <c r="D27" s="120"/>
      <c r="E27" s="80">
        <v>43191</v>
      </c>
      <c r="F27" s="79">
        <v>20.032755780088188</v>
      </c>
      <c r="G27" s="79">
        <v>350</v>
      </c>
      <c r="H27" s="79">
        <v>16.041666666666764</v>
      </c>
      <c r="I27" s="79">
        <v>-20.032755780088188</v>
      </c>
      <c r="J27" s="89">
        <v>346.00891088657858</v>
      </c>
      <c r="L27" s="75">
        <f>I27</f>
        <v>-20.032755780088188</v>
      </c>
      <c r="M27" s="75">
        <f>L27-N27</f>
        <v>-3.9910891134214239</v>
      </c>
      <c r="N27" s="75">
        <f>-H27</f>
        <v>-16.041666666666764</v>
      </c>
      <c r="O27" s="35">
        <f>'ipc empalme ipim'!$B$315</f>
        <v>184.2552</v>
      </c>
      <c r="P27" s="35">
        <f>VLOOKUP(E27,'ipc empalme ipim'!$A:$B,2,FALSE)</f>
        <v>136.75120000000001</v>
      </c>
      <c r="R27" s="35">
        <f>M27*O27/P27</f>
        <v>-5.3774952088997177</v>
      </c>
      <c r="S27" s="35">
        <f>N27*O27/P27</f>
        <v>-21.614146713155115</v>
      </c>
    </row>
    <row r="28" spans="1:19" x14ac:dyDescent="0.2">
      <c r="A28" s="114" t="s">
        <v>97</v>
      </c>
      <c r="B28" s="112"/>
      <c r="C28" s="101">
        <v>-9.5245721360356583E-2</v>
      </c>
      <c r="D28" s="120"/>
      <c r="E28" s="80">
        <v>43221</v>
      </c>
      <c r="F28" s="79">
        <v>20.032755780088184</v>
      </c>
      <c r="G28" s="79">
        <v>346.00891088657858</v>
      </c>
      <c r="H28" s="79">
        <v>15.858741748968281</v>
      </c>
      <c r="I28" s="79">
        <v>-20.032755780088184</v>
      </c>
      <c r="J28" s="89">
        <v>341.83489685545868</v>
      </c>
      <c r="L28" s="75">
        <f t="shared" ref="L28:L35" si="0">I28</f>
        <v>-20.032755780088184</v>
      </c>
      <c r="M28" s="75">
        <f t="shared" ref="M28:M35" si="1">L28-N28</f>
        <v>-4.1740140311199028</v>
      </c>
      <c r="N28" s="75">
        <f t="shared" ref="N28:N35" si="2">-H28</f>
        <v>-15.858741748968281</v>
      </c>
      <c r="O28" s="35">
        <f>'ipc empalme ipim'!$B$315</f>
        <v>184.2552</v>
      </c>
      <c r="P28" s="35">
        <f>VLOOKUP(E28,'ipc empalme ipim'!$A:$B,2,FALSE)</f>
        <v>139.58930000000001</v>
      </c>
      <c r="R28" s="35">
        <f t="shared" ref="R28:R35" si="3">M28*O28/P28</f>
        <v>-5.5096185030428826</v>
      </c>
      <c r="S28" s="35">
        <f t="shared" ref="S28:S35" si="4">N28*O28/P28</f>
        <v>-20.933235088251752</v>
      </c>
    </row>
    <row r="29" spans="1:19" x14ac:dyDescent="0.2">
      <c r="A29" s="114"/>
      <c r="B29" s="112"/>
      <c r="C29" s="112"/>
      <c r="D29" s="113"/>
      <c r="E29" s="80">
        <v>43252</v>
      </c>
      <c r="F29" s="79">
        <v>20.032755780088188</v>
      </c>
      <c r="G29" s="79">
        <v>341.83489685545868</v>
      </c>
      <c r="H29" s="79">
        <v>15.667432772541952</v>
      </c>
      <c r="I29" s="79">
        <v>-20.032755780088188</v>
      </c>
      <c r="J29" s="89">
        <v>337.46957384791244</v>
      </c>
      <c r="L29" s="75">
        <f t="shared" si="0"/>
        <v>-20.032755780088188</v>
      </c>
      <c r="M29" s="75">
        <f t="shared" si="1"/>
        <v>-4.3653230075462357</v>
      </c>
      <c r="N29" s="75">
        <f t="shared" si="2"/>
        <v>-15.667432772541952</v>
      </c>
      <c r="O29" s="35">
        <f>'ipc empalme ipim'!$B$315</f>
        <v>184.2552</v>
      </c>
      <c r="P29" s="35">
        <f>VLOOKUP(E29,'ipc empalme ipim'!$A:$B,2,FALSE)</f>
        <v>144.80529999999999</v>
      </c>
      <c r="R29" s="35">
        <f t="shared" si="3"/>
        <v>-5.5545858046634571</v>
      </c>
      <c r="S29" s="35">
        <f t="shared" si="4"/>
        <v>-19.935775548210405</v>
      </c>
    </row>
    <row r="30" spans="1:19" ht="15" thickBot="1" x14ac:dyDescent="0.25">
      <c r="A30" s="121" t="s">
        <v>165</v>
      </c>
      <c r="B30" s="100"/>
      <c r="C30" s="76">
        <v>-97.678581381237677</v>
      </c>
      <c r="D30" s="120"/>
      <c r="E30" s="80">
        <v>43282</v>
      </c>
      <c r="F30" s="79">
        <v>20.032755780088184</v>
      </c>
      <c r="G30" s="79">
        <v>337.46957384791244</v>
      </c>
      <c r="H30" s="79">
        <v>15.467355468029416</v>
      </c>
      <c r="I30" s="79">
        <v>-20.032755780088184</v>
      </c>
      <c r="J30" s="89">
        <v>332.90417353585372</v>
      </c>
      <c r="L30" s="75">
        <f t="shared" si="0"/>
        <v>-20.032755780088184</v>
      </c>
      <c r="M30" s="75">
        <f t="shared" si="1"/>
        <v>-4.5654003120587685</v>
      </c>
      <c r="N30" s="75">
        <f t="shared" si="2"/>
        <v>-15.467355468029416</v>
      </c>
      <c r="O30" s="35">
        <f>'ipc empalme ipim'!$B$315</f>
        <v>184.2552</v>
      </c>
      <c r="P30" s="35">
        <f>VLOOKUP(E30,'ipc empalme ipim'!$A:$B,2,FALSE)</f>
        <v>149.29660000000001</v>
      </c>
      <c r="R30" s="35">
        <f t="shared" si="3"/>
        <v>-5.6344132925897226</v>
      </c>
      <c r="S30" s="35">
        <f t="shared" si="4"/>
        <v>-19.089119747086361</v>
      </c>
    </row>
    <row r="31" spans="1:19" ht="15" x14ac:dyDescent="0.25">
      <c r="A31" s="110" t="s">
        <v>166</v>
      </c>
      <c r="B31" s="112"/>
      <c r="C31" s="128">
        <f>SUM(C18:C30)</f>
        <v>453.87040821502444</v>
      </c>
      <c r="D31" s="125"/>
      <c r="E31" s="80">
        <v>43313</v>
      </c>
      <c r="F31" s="79">
        <v>20.032755780088184</v>
      </c>
      <c r="G31" s="79">
        <v>332.90417353585372</v>
      </c>
      <c r="H31" s="79">
        <v>15.258107953726721</v>
      </c>
      <c r="I31" s="79">
        <v>-20.032755780088184</v>
      </c>
      <c r="J31" s="89">
        <v>328.12952570949227</v>
      </c>
      <c r="L31" s="75">
        <f t="shared" si="0"/>
        <v>-20.032755780088184</v>
      </c>
      <c r="M31" s="75">
        <f t="shared" si="1"/>
        <v>-4.7746478263614627</v>
      </c>
      <c r="N31" s="75">
        <f t="shared" si="2"/>
        <v>-15.258107953726721</v>
      </c>
      <c r="O31" s="35">
        <f>'ipc empalme ipim'!$B$315</f>
        <v>184.2552</v>
      </c>
      <c r="P31" s="35">
        <f>VLOOKUP(E31,'ipc empalme ipim'!$A:$B,2,FALSE)</f>
        <v>155.10339999999999</v>
      </c>
      <c r="R31" s="35">
        <f t="shared" si="3"/>
        <v>-5.6720464553052778</v>
      </c>
      <c r="S31" s="35">
        <f t="shared" si="4"/>
        <v>-18.12588075203708</v>
      </c>
    </row>
    <row r="32" spans="1:19" x14ac:dyDescent="0.2">
      <c r="A32" s="114"/>
      <c r="B32" s="112"/>
      <c r="C32" s="112"/>
      <c r="D32" s="113"/>
      <c r="E32" s="80">
        <v>43344</v>
      </c>
      <c r="F32" s="79">
        <v>20.032755780088184</v>
      </c>
      <c r="G32" s="79">
        <v>328.12952570949227</v>
      </c>
      <c r="H32" s="79">
        <v>15.039269928351821</v>
      </c>
      <c r="I32" s="79">
        <v>-20.032755780088184</v>
      </c>
      <c r="J32" s="89">
        <v>323.13603985775592</v>
      </c>
      <c r="L32" s="75">
        <f t="shared" si="0"/>
        <v>-20.032755780088184</v>
      </c>
      <c r="M32" s="75">
        <f t="shared" si="1"/>
        <v>-4.9934858517363629</v>
      </c>
      <c r="N32" s="75">
        <f t="shared" si="2"/>
        <v>-15.039269928351821</v>
      </c>
      <c r="O32" s="35">
        <f>'ipc empalme ipim'!$B$315</f>
        <v>184.2552</v>
      </c>
      <c r="P32" s="35">
        <f>VLOOKUP(E32,'ipc empalme ipim'!$A:$B,2,FALSE)</f>
        <v>165.23830000000001</v>
      </c>
      <c r="R32" s="35">
        <f t="shared" si="3"/>
        <v>-5.5681747773297952</v>
      </c>
      <c r="S32" s="35">
        <f t="shared" si="4"/>
        <v>-16.770105287348336</v>
      </c>
    </row>
    <row r="33" spans="1:19" ht="15" x14ac:dyDescent="0.25">
      <c r="A33" s="119" t="s">
        <v>153</v>
      </c>
      <c r="B33" s="112"/>
      <c r="C33" s="101"/>
      <c r="D33" s="120"/>
      <c r="E33" s="80">
        <v>43374</v>
      </c>
      <c r="F33" s="79">
        <v>20.032755780088188</v>
      </c>
      <c r="G33" s="79">
        <v>323.13603985775592</v>
      </c>
      <c r="H33" s="79">
        <v>14.810401826813903</v>
      </c>
      <c r="I33" s="79">
        <v>-20.032755780088188</v>
      </c>
      <c r="J33" s="89">
        <v>317.91368590448167</v>
      </c>
      <c r="L33" s="75">
        <f t="shared" si="0"/>
        <v>-20.032755780088188</v>
      </c>
      <c r="M33" s="75">
        <f t="shared" si="1"/>
        <v>-5.2223539532742844</v>
      </c>
      <c r="N33" s="75">
        <f t="shared" si="2"/>
        <v>-14.810401826813903</v>
      </c>
      <c r="O33" s="35">
        <f>'ipc empalme ipim'!$B$315</f>
        <v>184.2552</v>
      </c>
      <c r="P33" s="35">
        <f>VLOOKUP(E33,'ipc empalme ipim'!$A:$B,2,FALSE)</f>
        <v>174.1473</v>
      </c>
      <c r="R33" s="35">
        <f t="shared" si="3"/>
        <v>-5.5254710933292905</v>
      </c>
      <c r="S33" s="35">
        <f t="shared" si="4"/>
        <v>-15.670030776704326</v>
      </c>
    </row>
    <row r="34" spans="1:19" ht="15" thickBot="1" x14ac:dyDescent="0.25">
      <c r="A34" s="114" t="s">
        <v>154</v>
      </c>
      <c r="B34" s="112"/>
      <c r="C34" s="76">
        <v>-471.5813828324724</v>
      </c>
      <c r="D34" s="120"/>
      <c r="E34" s="80">
        <v>43405</v>
      </c>
      <c r="F34" s="79">
        <v>20.032755780088184</v>
      </c>
      <c r="G34" s="79">
        <v>317.91368590448167</v>
      </c>
      <c r="H34" s="79">
        <v>14.571043937288833</v>
      </c>
      <c r="I34" s="79">
        <v>-20.032755780088184</v>
      </c>
      <c r="J34" s="89">
        <v>312.45197406168234</v>
      </c>
      <c r="L34" s="75">
        <f t="shared" si="0"/>
        <v>-20.032755780088184</v>
      </c>
      <c r="M34" s="75">
        <f t="shared" si="1"/>
        <v>-5.4617118427993514</v>
      </c>
      <c r="N34" s="75">
        <f t="shared" si="2"/>
        <v>-14.571043937288833</v>
      </c>
      <c r="O34" s="35">
        <f>'ipc empalme ipim'!$B$315</f>
        <v>184.2552</v>
      </c>
      <c r="P34" s="35">
        <f>VLOOKUP(E34,'ipc empalme ipim'!$A:$B,2,FALSE)</f>
        <v>179.6388</v>
      </c>
      <c r="R34" s="35">
        <f t="shared" si="3"/>
        <v>-5.6020681942729693</v>
      </c>
      <c r="S34" s="35">
        <f t="shared" si="4"/>
        <v>-14.945494040674626</v>
      </c>
    </row>
    <row r="35" spans="1:19" ht="15" x14ac:dyDescent="0.25">
      <c r="A35" s="110" t="s">
        <v>155</v>
      </c>
      <c r="B35" s="111"/>
      <c r="C35" s="128">
        <f>SUM(C34)</f>
        <v>-471.5813828324724</v>
      </c>
      <c r="D35" s="125"/>
      <c r="E35" s="82">
        <v>43435</v>
      </c>
      <c r="F35" s="83">
        <v>20.032755780088188</v>
      </c>
      <c r="G35" s="83">
        <v>312.45197406168234</v>
      </c>
      <c r="H35" s="83">
        <v>14.320715477827195</v>
      </c>
      <c r="I35" s="83">
        <v>-20.032755780088188</v>
      </c>
      <c r="J35" s="90">
        <v>306.73993375942138</v>
      </c>
      <c r="L35" s="75">
        <f t="shared" si="0"/>
        <v>-20.032755780088188</v>
      </c>
      <c r="M35" s="75">
        <f t="shared" si="1"/>
        <v>-5.7120403022609931</v>
      </c>
      <c r="N35" s="75">
        <f t="shared" si="2"/>
        <v>-14.320715477827195</v>
      </c>
      <c r="O35" s="35">
        <f>'ipc empalme ipim'!$B$315</f>
        <v>184.2552</v>
      </c>
      <c r="P35" s="35">
        <f>VLOOKUP(E35,'ipc empalme ipim'!$A:$B,2,FALSE)</f>
        <v>184.2552</v>
      </c>
      <c r="R35" s="35">
        <f t="shared" si="3"/>
        <v>-5.7120403022609931</v>
      </c>
      <c r="S35" s="35">
        <f t="shared" si="4"/>
        <v>-14.320715477827195</v>
      </c>
    </row>
    <row r="36" spans="1:19" x14ac:dyDescent="0.2">
      <c r="A36" s="114"/>
      <c r="B36" s="112"/>
      <c r="C36" s="101"/>
      <c r="D36" s="120"/>
    </row>
    <row r="37" spans="1:19" ht="15" x14ac:dyDescent="0.25">
      <c r="A37" s="119" t="s">
        <v>156</v>
      </c>
      <c r="B37" s="112"/>
      <c r="C37" s="101"/>
      <c r="D37" s="120"/>
    </row>
    <row r="38" spans="1:19" x14ac:dyDescent="0.2">
      <c r="A38" s="114" t="s">
        <v>157</v>
      </c>
      <c r="B38" s="112"/>
      <c r="C38" s="101">
        <v>471.58138283247234</v>
      </c>
      <c r="D38" s="120"/>
    </row>
    <row r="39" spans="1:19" x14ac:dyDescent="0.2">
      <c r="A39" s="114" t="s">
        <v>158</v>
      </c>
      <c r="B39" s="112"/>
      <c r="C39" s="101">
        <v>-50.155913631694105</v>
      </c>
      <c r="D39" s="120"/>
    </row>
    <row r="40" spans="1:19" x14ac:dyDescent="0.2">
      <c r="A40" s="114" t="s">
        <v>159</v>
      </c>
      <c r="B40" s="112"/>
      <c r="C40" s="101">
        <v>-161.40450343129518</v>
      </c>
      <c r="D40" s="120"/>
    </row>
    <row r="41" spans="1:19" ht="15" thickBot="1" x14ac:dyDescent="0.25">
      <c r="A41" s="114" t="s">
        <v>160</v>
      </c>
      <c r="B41" s="112"/>
      <c r="C41" s="76">
        <v>-808.42522771280971</v>
      </c>
      <c r="D41" s="120"/>
    </row>
    <row r="42" spans="1:19" ht="15" x14ac:dyDescent="0.25">
      <c r="A42" s="110" t="s">
        <v>161</v>
      </c>
      <c r="B42" s="112"/>
      <c r="C42" s="128">
        <f>SUM(C38:C41)</f>
        <v>-548.40426194332667</v>
      </c>
      <c r="D42" s="125"/>
    </row>
    <row r="43" spans="1:19" x14ac:dyDescent="0.2">
      <c r="A43" s="114"/>
      <c r="B43" s="112"/>
      <c r="C43" s="101"/>
      <c r="D43" s="120"/>
    </row>
    <row r="44" spans="1:19" ht="15" x14ac:dyDescent="0.25">
      <c r="A44" s="110" t="s">
        <v>162</v>
      </c>
      <c r="B44" s="111"/>
      <c r="C44" s="128">
        <v>-426.30618434722339</v>
      </c>
      <c r="D44" s="125"/>
    </row>
    <row r="45" spans="1:19" x14ac:dyDescent="0.2">
      <c r="A45" s="114"/>
      <c r="B45" s="112"/>
      <c r="C45" s="101"/>
      <c r="D45" s="120"/>
    </row>
    <row r="46" spans="1:19" ht="15" x14ac:dyDescent="0.25">
      <c r="A46" s="122" t="s">
        <v>149</v>
      </c>
      <c r="B46" s="123"/>
      <c r="C46" s="124">
        <f>C13</f>
        <v>-992.42142090799803</v>
      </c>
      <c r="D46" s="125"/>
    </row>
    <row r="47" spans="1:19" x14ac:dyDescent="0.2">
      <c r="A47" s="114"/>
      <c r="B47" s="112"/>
      <c r="C47" s="101"/>
      <c r="D47" s="120"/>
    </row>
    <row r="48" spans="1:19" x14ac:dyDescent="0.2">
      <c r="A48" s="114"/>
      <c r="B48" s="112"/>
      <c r="C48" s="101"/>
      <c r="D48" s="120"/>
    </row>
    <row r="49" spans="1:4" ht="15" thickBot="1" x14ac:dyDescent="0.25">
      <c r="A49" s="121"/>
      <c r="B49" s="100"/>
      <c r="C49" s="76"/>
      <c r="D49" s="12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workbookViewId="0">
      <selection activeCell="H15" sqref="H15"/>
    </sheetView>
  </sheetViews>
  <sheetFormatPr baseColWidth="10" defaultRowHeight="14.25" x14ac:dyDescent="0.2"/>
  <cols>
    <col min="1" max="1" width="11.42578125" style="35"/>
    <col min="2" max="6" width="12.7109375" style="35" customWidth="1"/>
    <col min="7" max="7" width="3.140625" style="35" customWidth="1"/>
    <col min="8" max="11" width="12.7109375" style="35" customWidth="1"/>
    <col min="12" max="16384" width="11.42578125" style="35"/>
  </cols>
  <sheetData>
    <row r="1" spans="1:14" x14ac:dyDescent="0.2">
      <c r="A1" s="150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51" t="s">
        <v>176</v>
      </c>
      <c r="M1" s="151" t="s">
        <v>176</v>
      </c>
      <c r="N1" s="109"/>
    </row>
    <row r="2" spans="1:14" ht="15.75" customHeight="1" thickBot="1" x14ac:dyDescent="0.25">
      <c r="A2" s="114"/>
      <c r="B2" s="158" t="s">
        <v>173</v>
      </c>
      <c r="C2" s="158"/>
      <c r="D2" s="158"/>
      <c r="E2" s="158"/>
      <c r="F2" s="158"/>
      <c r="G2" s="112"/>
      <c r="H2" s="158" t="s">
        <v>175</v>
      </c>
      <c r="I2" s="158"/>
      <c r="J2" s="158"/>
      <c r="K2" s="158"/>
      <c r="L2" s="105" t="s">
        <v>177</v>
      </c>
      <c r="M2" s="105" t="s">
        <v>177</v>
      </c>
      <c r="N2" s="113"/>
    </row>
    <row r="3" spans="1:14" ht="15" thickBot="1" x14ac:dyDescent="0.25">
      <c r="A3" s="114"/>
      <c r="B3" s="132" t="s">
        <v>67</v>
      </c>
      <c r="C3" s="132" t="s">
        <v>170</v>
      </c>
      <c r="D3" s="132" t="s">
        <v>171</v>
      </c>
      <c r="E3" s="132" t="s">
        <v>172</v>
      </c>
      <c r="F3" s="132" t="s">
        <v>101</v>
      </c>
      <c r="G3" s="132"/>
      <c r="H3" s="132" t="s">
        <v>67</v>
      </c>
      <c r="I3" s="132" t="s">
        <v>171</v>
      </c>
      <c r="J3" s="132" t="s">
        <v>174</v>
      </c>
      <c r="K3" s="132" t="s">
        <v>101</v>
      </c>
      <c r="L3" s="104">
        <v>43435</v>
      </c>
      <c r="M3" s="103">
        <v>43070</v>
      </c>
      <c r="N3" s="113"/>
    </row>
    <row r="4" spans="1:14" x14ac:dyDescent="0.2">
      <c r="A4" s="138" t="s">
        <v>167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1:14" x14ac:dyDescent="0.2">
      <c r="A5" s="114" t="s">
        <v>168</v>
      </c>
      <c r="B5" s="101">
        <v>0</v>
      </c>
      <c r="C5" s="101">
        <f>'AUX-BU paso 5.2'!G7</f>
        <v>471.5813828324724</v>
      </c>
      <c r="D5" s="101">
        <v>0</v>
      </c>
      <c r="E5" s="101">
        <v>0</v>
      </c>
      <c r="F5" s="101">
        <f>B5+C5-D5+E5</f>
        <v>471.5813828324724</v>
      </c>
      <c r="G5" s="101"/>
      <c r="H5" s="101">
        <v>0</v>
      </c>
      <c r="I5" s="101"/>
      <c r="J5" s="101">
        <v>0</v>
      </c>
      <c r="K5" s="101">
        <v>0</v>
      </c>
      <c r="L5" s="101">
        <f>F5+K5</f>
        <v>471.5813828324724</v>
      </c>
      <c r="M5" s="101">
        <f>B5-H5</f>
        <v>0</v>
      </c>
      <c r="N5" s="113"/>
    </row>
    <row r="6" spans="1:14" ht="15" thickBot="1" x14ac:dyDescent="0.25">
      <c r="A6" s="114" t="s">
        <v>169</v>
      </c>
      <c r="B6" s="76">
        <f>SUM('AUX-BU paso 5.2'!G2:G6)</f>
        <v>3654.6673481077951</v>
      </c>
      <c r="C6" s="76"/>
      <c r="D6" s="76">
        <v>0</v>
      </c>
      <c r="E6" s="76">
        <v>0</v>
      </c>
      <c r="F6" s="76">
        <f>B6+C6-D6+E6</f>
        <v>3654.6673481077951</v>
      </c>
      <c r="G6" s="101"/>
      <c r="H6" s="76">
        <f>-Saldos_base_presentac!D9</f>
        <v>1306.9730582157208</v>
      </c>
      <c r="I6" s="76"/>
      <c r="J6" s="76">
        <f>K6-H6</f>
        <v>261.73231868822427</v>
      </c>
      <c r="K6" s="76">
        <f>-Saldos_base_presentac!C9</f>
        <v>1568.7053769039451</v>
      </c>
      <c r="L6" s="76">
        <f>F6-K6</f>
        <v>2085.9619712038502</v>
      </c>
      <c r="M6" s="76">
        <f>B6-H6</f>
        <v>2347.6942898920743</v>
      </c>
      <c r="N6" s="113"/>
    </row>
    <row r="7" spans="1:14" ht="15" x14ac:dyDescent="0.25">
      <c r="A7" s="114"/>
      <c r="B7" s="128">
        <f>SUM(B5:B6)</f>
        <v>3654.6673481077951</v>
      </c>
      <c r="C7" s="128">
        <f>SUM(C5:C6)</f>
        <v>471.5813828324724</v>
      </c>
      <c r="D7" s="128">
        <f>SUM(D5:D6)</f>
        <v>0</v>
      </c>
      <c r="E7" s="128">
        <f>SUM(E5:E6)</f>
        <v>0</v>
      </c>
      <c r="F7" s="128">
        <f>SUM(F5:F6)</f>
        <v>4126.2487309402677</v>
      </c>
      <c r="G7" s="101"/>
      <c r="H7" s="128">
        <f t="shared" ref="H7:M7" si="0">SUM(H5:H6)</f>
        <v>1306.9730582157208</v>
      </c>
      <c r="I7" s="128">
        <f t="shared" si="0"/>
        <v>0</v>
      </c>
      <c r="J7" s="128">
        <f t="shared" si="0"/>
        <v>261.73231868822427</v>
      </c>
      <c r="K7" s="128">
        <f t="shared" si="0"/>
        <v>1568.7053769039451</v>
      </c>
      <c r="L7" s="128">
        <f t="shared" si="0"/>
        <v>2557.5433540363229</v>
      </c>
      <c r="M7" s="128">
        <f t="shared" si="0"/>
        <v>2347.6942898920743</v>
      </c>
      <c r="N7" s="113"/>
    </row>
    <row r="8" spans="1:14" x14ac:dyDescent="0.2">
      <c r="A8" s="114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12"/>
      <c r="N8" s="113"/>
    </row>
    <row r="9" spans="1:14" x14ac:dyDescent="0.2">
      <c r="A9" s="114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12"/>
      <c r="N9" s="113"/>
    </row>
    <row r="10" spans="1:14" ht="15" thickBot="1" x14ac:dyDescent="0.25">
      <c r="A10" s="121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100"/>
      <c r="N10" s="131"/>
    </row>
    <row r="11" spans="1:14" x14ac:dyDescent="0.2"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4" x14ac:dyDescent="0.2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</sheetData>
  <mergeCells count="2">
    <mergeCell ref="B2:F2"/>
    <mergeCell ref="H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workbookViewId="0">
      <selection activeCell="C33" sqref="C33"/>
    </sheetView>
  </sheetViews>
  <sheetFormatPr baseColWidth="10" defaultRowHeight="14.25" x14ac:dyDescent="0.2"/>
  <cols>
    <col min="1" max="1" width="58.85546875" style="35" customWidth="1"/>
    <col min="2" max="16384" width="11.42578125" style="35"/>
  </cols>
  <sheetData>
    <row r="1" spans="1:8" x14ac:dyDescent="0.2">
      <c r="A1" s="150"/>
      <c r="B1" s="152"/>
      <c r="C1" s="108"/>
      <c r="D1" s="108"/>
      <c r="E1" s="108"/>
      <c r="F1" s="108"/>
      <c r="G1" s="108"/>
      <c r="H1" s="109"/>
    </row>
    <row r="2" spans="1:8" ht="15" x14ac:dyDescent="0.25">
      <c r="A2" s="114"/>
      <c r="B2" s="115">
        <v>43830</v>
      </c>
      <c r="C2" s="112"/>
      <c r="D2" s="112"/>
      <c r="E2" s="112"/>
      <c r="F2" s="112"/>
      <c r="G2" s="112"/>
      <c r="H2" s="113"/>
    </row>
    <row r="3" spans="1:8" ht="15.75" thickBot="1" x14ac:dyDescent="0.3">
      <c r="A3" s="119" t="s">
        <v>178</v>
      </c>
      <c r="B3" s="74">
        <v>2018</v>
      </c>
      <c r="C3" s="112"/>
      <c r="D3" s="112"/>
      <c r="E3" s="112"/>
      <c r="F3" s="112"/>
      <c r="G3" s="112"/>
      <c r="H3" s="113"/>
    </row>
    <row r="4" spans="1:8" x14ac:dyDescent="0.2">
      <c r="A4" s="114" t="s">
        <v>184</v>
      </c>
      <c r="B4" s="101">
        <f>B6-B5</f>
        <v>136.15912151210031</v>
      </c>
      <c r="C4" s="112"/>
      <c r="D4" s="112"/>
      <c r="E4" s="112"/>
      <c r="F4" s="112"/>
      <c r="G4" s="112"/>
      <c r="H4" s="113"/>
    </row>
    <row r="5" spans="1:8" ht="15" thickBot="1" x14ac:dyDescent="0.25">
      <c r="A5" s="121" t="s">
        <v>182</v>
      </c>
      <c r="B5" s="76">
        <f>B11</f>
        <v>98.937844902624676</v>
      </c>
      <c r="C5" s="112"/>
      <c r="D5" s="112"/>
      <c r="E5" s="112"/>
      <c r="F5" s="112"/>
      <c r="G5" s="112"/>
      <c r="H5" s="113"/>
    </row>
    <row r="6" spans="1:8" ht="15" x14ac:dyDescent="0.25">
      <c r="A6" s="110" t="s">
        <v>183</v>
      </c>
      <c r="B6" s="128">
        <f>-EERR!C26</f>
        <v>235.09696641472499</v>
      </c>
      <c r="C6" s="112"/>
      <c r="D6" s="112"/>
      <c r="E6" s="112"/>
      <c r="F6" s="112"/>
      <c r="G6" s="112"/>
      <c r="H6" s="113"/>
    </row>
    <row r="7" spans="1:8" x14ac:dyDescent="0.2">
      <c r="A7" s="114"/>
      <c r="B7" s="101"/>
      <c r="C7" s="112"/>
      <c r="D7" s="112"/>
      <c r="E7" s="112"/>
      <c r="F7" s="112"/>
      <c r="G7" s="112"/>
      <c r="H7" s="113"/>
    </row>
    <row r="8" spans="1:8" ht="15" x14ac:dyDescent="0.25">
      <c r="A8" s="114"/>
      <c r="B8" s="115">
        <v>43830</v>
      </c>
      <c r="C8" s="112"/>
      <c r="D8" s="112"/>
      <c r="E8" s="112"/>
      <c r="F8" s="112"/>
      <c r="G8" s="112"/>
      <c r="H8" s="113"/>
    </row>
    <row r="9" spans="1:8" ht="15.75" thickBot="1" x14ac:dyDescent="0.3">
      <c r="A9" s="119" t="s">
        <v>179</v>
      </c>
      <c r="B9" s="74">
        <v>2018</v>
      </c>
      <c r="C9" s="112"/>
      <c r="D9" s="112"/>
      <c r="E9" s="112"/>
      <c r="F9" s="112"/>
      <c r="G9" s="112"/>
      <c r="H9" s="113"/>
    </row>
    <row r="10" spans="1:8" x14ac:dyDescent="0.2">
      <c r="A10" s="114" t="s">
        <v>180</v>
      </c>
      <c r="B10" s="101">
        <f>ESP!D30</f>
        <v>245.97299360645601</v>
      </c>
      <c r="C10" s="112"/>
      <c r="D10" s="112"/>
      <c r="E10" s="112"/>
      <c r="F10" s="112"/>
      <c r="G10" s="112"/>
      <c r="H10" s="113"/>
    </row>
    <row r="11" spans="1:8" ht="15" thickBot="1" x14ac:dyDescent="0.25">
      <c r="A11" s="121" t="s">
        <v>182</v>
      </c>
      <c r="B11" s="76">
        <f>B12-B10</f>
        <v>98.937844902624676</v>
      </c>
      <c r="C11" s="112"/>
      <c r="D11" s="112"/>
      <c r="E11" s="112"/>
      <c r="F11" s="112"/>
      <c r="G11" s="112"/>
      <c r="H11" s="113"/>
    </row>
    <row r="12" spans="1:8" ht="15" x14ac:dyDescent="0.25">
      <c r="A12" s="110" t="s">
        <v>181</v>
      </c>
      <c r="B12" s="128">
        <f>ESP!C30</f>
        <v>344.91083850908069</v>
      </c>
      <c r="C12" s="112"/>
      <c r="D12" s="112"/>
      <c r="E12" s="112"/>
      <c r="F12" s="112"/>
      <c r="G12" s="112"/>
      <c r="H12" s="113"/>
    </row>
    <row r="13" spans="1:8" x14ac:dyDescent="0.2">
      <c r="A13" s="114"/>
      <c r="B13" s="101"/>
      <c r="C13" s="112"/>
      <c r="D13" s="112"/>
      <c r="E13" s="112"/>
      <c r="F13" s="112"/>
      <c r="G13" s="112"/>
      <c r="H13" s="113"/>
    </row>
    <row r="14" spans="1:8" x14ac:dyDescent="0.2">
      <c r="A14" s="114"/>
      <c r="B14" s="101"/>
      <c r="C14" s="112"/>
      <c r="D14" s="112"/>
      <c r="E14" s="112"/>
      <c r="F14" s="112"/>
      <c r="G14" s="112"/>
      <c r="H14" s="113"/>
    </row>
    <row r="15" spans="1:8" ht="15" x14ac:dyDescent="0.25">
      <c r="A15" s="114"/>
      <c r="B15" s="115">
        <v>43830</v>
      </c>
      <c r="C15" s="115">
        <v>43830</v>
      </c>
      <c r="D15" s="112"/>
      <c r="E15" s="112"/>
      <c r="F15" s="112"/>
      <c r="G15" s="112"/>
      <c r="H15" s="113"/>
    </row>
    <row r="16" spans="1:8" ht="15.75" thickBot="1" x14ac:dyDescent="0.3">
      <c r="A16" s="119" t="s">
        <v>185</v>
      </c>
      <c r="B16" s="74">
        <v>2018</v>
      </c>
      <c r="C16" s="74">
        <v>2017</v>
      </c>
      <c r="D16" s="112"/>
      <c r="E16" s="112"/>
      <c r="F16" s="112"/>
      <c r="G16" s="112"/>
      <c r="H16" s="113"/>
    </row>
    <row r="17" spans="1:8" x14ac:dyDescent="0.2">
      <c r="A17" s="114" t="s">
        <v>92</v>
      </c>
      <c r="B17" s="101">
        <f>ESP!C30</f>
        <v>344.91083850908069</v>
      </c>
      <c r="C17" s="101">
        <f>ESP!D30</f>
        <v>245.97299360645601</v>
      </c>
      <c r="D17" s="112"/>
      <c r="E17" s="112"/>
      <c r="F17" s="112"/>
      <c r="G17" s="112"/>
      <c r="H17" s="113"/>
    </row>
    <row r="18" spans="1:8" x14ac:dyDescent="0.2">
      <c r="A18" s="114"/>
      <c r="B18" s="101"/>
      <c r="C18" s="112"/>
      <c r="D18" s="112"/>
      <c r="E18" s="112"/>
      <c r="F18" s="112"/>
      <c r="G18" s="112"/>
      <c r="H18" s="113"/>
    </row>
    <row r="19" spans="1:8" x14ac:dyDescent="0.2">
      <c r="A19" s="114"/>
      <c r="B19" s="101"/>
      <c r="C19" s="112"/>
      <c r="D19" s="112"/>
      <c r="E19" s="112"/>
      <c r="F19" s="112"/>
      <c r="G19" s="112"/>
      <c r="H19" s="113"/>
    </row>
    <row r="20" spans="1:8" ht="15" x14ac:dyDescent="0.25">
      <c r="A20" s="114"/>
      <c r="B20" s="115">
        <v>43830</v>
      </c>
      <c r="C20" s="112"/>
      <c r="D20" s="112"/>
      <c r="E20" s="112"/>
      <c r="F20" s="112"/>
      <c r="G20" s="112"/>
      <c r="H20" s="113"/>
    </row>
    <row r="21" spans="1:8" ht="15.75" thickBot="1" x14ac:dyDescent="0.3">
      <c r="A21" s="114"/>
      <c r="B21" s="74">
        <v>2018</v>
      </c>
      <c r="C21" s="112"/>
      <c r="D21" s="112"/>
      <c r="E21" s="112"/>
      <c r="F21" s="112"/>
      <c r="G21" s="112"/>
      <c r="H21" s="113"/>
    </row>
    <row r="22" spans="1:8" ht="15" x14ac:dyDescent="0.25">
      <c r="A22" s="110" t="s">
        <v>186</v>
      </c>
      <c r="B22" s="101">
        <f>-EERR!C24</f>
        <v>193.57552887346401</v>
      </c>
      <c r="C22" s="128"/>
      <c r="D22" s="112"/>
      <c r="E22" s="112"/>
      <c r="F22" s="112"/>
      <c r="G22" s="112"/>
      <c r="H22" s="113"/>
    </row>
    <row r="23" spans="1:8" x14ac:dyDescent="0.2">
      <c r="A23" s="114" t="s">
        <v>187</v>
      </c>
      <c r="B23" s="101">
        <f>-B22*30%</f>
        <v>-58.072658662039203</v>
      </c>
      <c r="C23" s="112"/>
      <c r="D23" s="112"/>
      <c r="E23" s="112"/>
      <c r="F23" s="112"/>
      <c r="G23" s="112"/>
      <c r="H23" s="113"/>
    </row>
    <row r="24" spans="1:8" x14ac:dyDescent="0.2">
      <c r="A24" s="153" t="s">
        <v>188</v>
      </c>
      <c r="B24" s="154">
        <f>B25-B23</f>
        <v>293.16962507676419</v>
      </c>
      <c r="C24" s="112"/>
      <c r="D24" s="112"/>
      <c r="E24" s="112"/>
      <c r="F24" s="112"/>
      <c r="G24" s="112"/>
      <c r="H24" s="113"/>
    </row>
    <row r="25" spans="1:8" ht="15" x14ac:dyDescent="0.25">
      <c r="A25" s="110" t="s">
        <v>183</v>
      </c>
      <c r="B25" s="128">
        <f>B6</f>
        <v>235.09696641472499</v>
      </c>
      <c r="C25" s="112"/>
      <c r="D25" s="112"/>
      <c r="E25" s="112"/>
      <c r="F25" s="112"/>
      <c r="G25" s="112"/>
      <c r="H25" s="113"/>
    </row>
    <row r="26" spans="1:8" x14ac:dyDescent="0.2">
      <c r="A26" s="114"/>
      <c r="B26" s="101"/>
      <c r="C26" s="112"/>
      <c r="D26" s="112"/>
      <c r="E26" s="112"/>
      <c r="F26" s="112"/>
      <c r="G26" s="112"/>
      <c r="H26" s="113"/>
    </row>
    <row r="27" spans="1:8" x14ac:dyDescent="0.2">
      <c r="A27" s="114" t="s">
        <v>189</v>
      </c>
      <c r="B27" s="101"/>
      <c r="C27" s="112"/>
      <c r="D27" s="112"/>
      <c r="E27" s="112"/>
      <c r="F27" s="112"/>
      <c r="G27" s="112"/>
      <c r="H27" s="113"/>
    </row>
    <row r="28" spans="1:8" ht="15" thickBot="1" x14ac:dyDescent="0.25">
      <c r="A28" s="121"/>
      <c r="B28" s="76"/>
      <c r="C28" s="100"/>
      <c r="D28" s="100"/>
      <c r="E28" s="100"/>
      <c r="F28" s="100"/>
      <c r="G28" s="100"/>
      <c r="H28" s="131"/>
    </row>
    <row r="29" spans="1:8" x14ac:dyDescent="0.2">
      <c r="B29" s="75"/>
    </row>
    <row r="30" spans="1:8" x14ac:dyDescent="0.2">
      <c r="B30" s="75"/>
    </row>
    <row r="31" spans="1:8" x14ac:dyDescent="0.2">
      <c r="B31" s="75"/>
    </row>
    <row r="32" spans="1:8" x14ac:dyDescent="0.2">
      <c r="B32" s="75"/>
    </row>
    <row r="33" spans="2:2" x14ac:dyDescent="0.2">
      <c r="B33" s="75"/>
    </row>
    <row r="34" spans="2:2" x14ac:dyDescent="0.2">
      <c r="B34" s="75"/>
    </row>
    <row r="35" spans="2:2" x14ac:dyDescent="0.2">
      <c r="B35" s="75"/>
    </row>
    <row r="36" spans="2:2" x14ac:dyDescent="0.2">
      <c r="B36" s="75"/>
    </row>
    <row r="37" spans="2:2" x14ac:dyDescent="0.2">
      <c r="B37" s="75"/>
    </row>
    <row r="38" spans="2:2" x14ac:dyDescent="0.2">
      <c r="B38" s="75"/>
    </row>
    <row r="39" spans="2:2" x14ac:dyDescent="0.2">
      <c r="B39" s="75"/>
    </row>
    <row r="40" spans="2:2" x14ac:dyDescent="0.2">
      <c r="B40" s="75"/>
    </row>
    <row r="41" spans="2:2" x14ac:dyDescent="0.2">
      <c r="B41" s="75"/>
    </row>
    <row r="42" spans="2:2" x14ac:dyDescent="0.2">
      <c r="B42" s="75"/>
    </row>
    <row r="43" spans="2:2" x14ac:dyDescent="0.2">
      <c r="B43" s="75"/>
    </row>
    <row r="44" spans="2:2" x14ac:dyDescent="0.2">
      <c r="B44" s="75"/>
    </row>
    <row r="45" spans="2:2" x14ac:dyDescent="0.2">
      <c r="B45" s="75"/>
    </row>
    <row r="46" spans="2:2" x14ac:dyDescent="0.2">
      <c r="B46" s="75"/>
    </row>
    <row r="47" spans="2:2" x14ac:dyDescent="0.2">
      <c r="B47" s="75"/>
    </row>
    <row r="48" spans="2:2" x14ac:dyDescent="0.2">
      <c r="B48" s="75"/>
    </row>
    <row r="49" spans="2:2" x14ac:dyDescent="0.2">
      <c r="B49" s="75"/>
    </row>
    <row r="50" spans="2:2" x14ac:dyDescent="0.2">
      <c r="B50" s="75"/>
    </row>
    <row r="51" spans="2:2" x14ac:dyDescent="0.2">
      <c r="B51" s="75"/>
    </row>
    <row r="52" spans="2:2" x14ac:dyDescent="0.2">
      <c r="B52" s="75"/>
    </row>
    <row r="53" spans="2:2" x14ac:dyDescent="0.2">
      <c r="B53" s="75"/>
    </row>
    <row r="54" spans="2:2" x14ac:dyDescent="0.2">
      <c r="B54" s="75"/>
    </row>
    <row r="55" spans="2:2" x14ac:dyDescent="0.2">
      <c r="B55" s="75"/>
    </row>
    <row r="56" spans="2:2" x14ac:dyDescent="0.2">
      <c r="B56" s="75"/>
    </row>
    <row r="57" spans="2:2" x14ac:dyDescent="0.2">
      <c r="B57" s="75"/>
    </row>
    <row r="58" spans="2:2" x14ac:dyDescent="0.2">
      <c r="B58" s="75"/>
    </row>
    <row r="59" spans="2:2" x14ac:dyDescent="0.2">
      <c r="B59" s="75"/>
    </row>
    <row r="60" spans="2:2" x14ac:dyDescent="0.2">
      <c r="B60" s="75"/>
    </row>
    <row r="61" spans="2:2" x14ac:dyDescent="0.2">
      <c r="B61" s="75"/>
    </row>
    <row r="62" spans="2:2" x14ac:dyDescent="0.2">
      <c r="B62" s="75"/>
    </row>
    <row r="63" spans="2:2" x14ac:dyDescent="0.2">
      <c r="B63" s="75"/>
    </row>
    <row r="64" spans="2:2" x14ac:dyDescent="0.2">
      <c r="B64" s="75"/>
    </row>
    <row r="65" spans="2:2" x14ac:dyDescent="0.2">
      <c r="B65" s="75"/>
    </row>
    <row r="66" spans="2:2" x14ac:dyDescent="0.2">
      <c r="B66" s="75"/>
    </row>
    <row r="67" spans="2:2" x14ac:dyDescent="0.2">
      <c r="B67" s="75"/>
    </row>
    <row r="68" spans="2:2" x14ac:dyDescent="0.2">
      <c r="B68" s="75"/>
    </row>
    <row r="69" spans="2:2" x14ac:dyDescent="0.2">
      <c r="B69" s="75"/>
    </row>
    <row r="70" spans="2:2" x14ac:dyDescent="0.2">
      <c r="B70" s="75"/>
    </row>
    <row r="71" spans="2:2" x14ac:dyDescent="0.2">
      <c r="B71" s="75"/>
    </row>
    <row r="72" spans="2:2" x14ac:dyDescent="0.2">
      <c r="B72" s="75"/>
    </row>
    <row r="73" spans="2:2" x14ac:dyDescent="0.2">
      <c r="B73" s="75"/>
    </row>
    <row r="74" spans="2:2" x14ac:dyDescent="0.2">
      <c r="B74" s="75"/>
    </row>
    <row r="75" spans="2:2" x14ac:dyDescent="0.2">
      <c r="B75" s="75"/>
    </row>
    <row r="76" spans="2:2" x14ac:dyDescent="0.2">
      <c r="B76" s="75"/>
    </row>
    <row r="77" spans="2:2" x14ac:dyDescent="0.2">
      <c r="B77" s="75"/>
    </row>
    <row r="78" spans="2:2" x14ac:dyDescent="0.2">
      <c r="B78" s="75"/>
    </row>
    <row r="79" spans="2:2" x14ac:dyDescent="0.2">
      <c r="B79" s="75"/>
    </row>
    <row r="80" spans="2:2" x14ac:dyDescent="0.2">
      <c r="B80" s="75"/>
    </row>
    <row r="81" spans="2:2" x14ac:dyDescent="0.2">
      <c r="B81" s="75"/>
    </row>
    <row r="82" spans="2:2" x14ac:dyDescent="0.2">
      <c r="B82" s="75"/>
    </row>
    <row r="83" spans="2:2" x14ac:dyDescent="0.2">
      <c r="B83" s="75"/>
    </row>
    <row r="84" spans="2:2" x14ac:dyDescent="0.2">
      <c r="B84" s="7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H28" sqref="H28"/>
    </sheetView>
  </sheetViews>
  <sheetFormatPr baseColWidth="10" defaultRowHeight="12.75" x14ac:dyDescent="0.2"/>
  <cols>
    <col min="1" max="1" width="42.28515625" style="3" bestFit="1" customWidth="1"/>
    <col min="2" max="4" width="12.7109375" style="3" hidden="1" customWidth="1"/>
    <col min="5" max="5" width="0" style="3" hidden="1" customWidth="1"/>
    <col min="6" max="16384" width="11.42578125" style="3"/>
  </cols>
  <sheetData>
    <row r="1" spans="1:7" x14ac:dyDescent="0.2">
      <c r="C1" s="25" t="s">
        <v>39</v>
      </c>
      <c r="D1" s="25" t="s">
        <v>66</v>
      </c>
      <c r="E1" s="70"/>
    </row>
    <row r="2" spans="1:7" x14ac:dyDescent="0.2">
      <c r="A2" s="1" t="s">
        <v>0</v>
      </c>
      <c r="B2" s="1" t="s">
        <v>61</v>
      </c>
      <c r="C2" s="2">
        <v>43435</v>
      </c>
      <c r="D2" s="2">
        <v>43435</v>
      </c>
      <c r="E2" s="71" t="s">
        <v>79</v>
      </c>
      <c r="F2" s="156" t="s">
        <v>80</v>
      </c>
      <c r="G2" s="156" t="s">
        <v>81</v>
      </c>
    </row>
    <row r="3" spans="1:7" hidden="1" x14ac:dyDescent="0.2">
      <c r="A3" s="3" t="s">
        <v>1</v>
      </c>
      <c r="B3" s="3" t="s">
        <v>28</v>
      </c>
      <c r="C3" s="4">
        <f>'Paso 1.1'!N2</f>
        <v>767.00519797920674</v>
      </c>
      <c r="D3" s="4">
        <f>'Paso 6'!P3</f>
        <v>767.00519797920674</v>
      </c>
      <c r="E3" s="4">
        <f>D3-C3</f>
        <v>0</v>
      </c>
    </row>
    <row r="4" spans="1:7" hidden="1" x14ac:dyDescent="0.2">
      <c r="A4" s="3" t="s">
        <v>2</v>
      </c>
      <c r="B4" s="3" t="s">
        <v>28</v>
      </c>
      <c r="C4" s="4">
        <f>'Paso 1.1'!N3</f>
        <v>1064</v>
      </c>
      <c r="D4" s="4">
        <f>'Paso 6'!P4</f>
        <v>1064</v>
      </c>
      <c r="E4" s="4">
        <f t="shared" ref="E4:E27" si="0">D4-C4</f>
        <v>0</v>
      </c>
    </row>
    <row r="5" spans="1:7" hidden="1" x14ac:dyDescent="0.2">
      <c r="A5" s="3" t="s">
        <v>3</v>
      </c>
      <c r="B5" s="3" t="s">
        <v>28</v>
      </c>
      <c r="C5" s="4">
        <f>'Paso 1.1'!N4</f>
        <v>257</v>
      </c>
      <c r="D5" s="4">
        <f>'Paso 6'!P5</f>
        <v>257</v>
      </c>
      <c r="E5" s="4">
        <f t="shared" si="0"/>
        <v>0</v>
      </c>
    </row>
    <row r="6" spans="1:7" hidden="1" x14ac:dyDescent="0.2">
      <c r="A6" s="3" t="s">
        <v>4</v>
      </c>
      <c r="B6" s="3" t="s">
        <v>28</v>
      </c>
      <c r="C6" s="4">
        <v>170</v>
      </c>
      <c r="D6" s="4">
        <f>'Paso 6'!P6</f>
        <v>169.99999999999994</v>
      </c>
      <c r="E6" s="4">
        <f t="shared" si="0"/>
        <v>0</v>
      </c>
    </row>
    <row r="7" spans="1:7" hidden="1" x14ac:dyDescent="0.2">
      <c r="A7" s="3" t="s">
        <v>5</v>
      </c>
      <c r="B7" s="3" t="s">
        <v>29</v>
      </c>
      <c r="C7" s="4">
        <v>0</v>
      </c>
      <c r="D7" s="4">
        <f>'Paso 6'!P7</f>
        <v>0</v>
      </c>
      <c r="E7" s="4">
        <f t="shared" si="0"/>
        <v>0</v>
      </c>
    </row>
    <row r="8" spans="1:7" x14ac:dyDescent="0.2">
      <c r="A8" s="3" t="s">
        <v>6</v>
      </c>
      <c r="B8" s="3" t="s">
        <v>29</v>
      </c>
      <c r="C8" s="4">
        <f>'Paso 1.1'!N7</f>
        <v>1493</v>
      </c>
      <c r="D8" s="4">
        <f>'Paso 6'!P8</f>
        <v>4126.2487309402677</v>
      </c>
      <c r="E8" s="4">
        <f t="shared" si="0"/>
        <v>2633.2487309402677</v>
      </c>
      <c r="F8" s="4">
        <f>E8</f>
        <v>2633.2487309402677</v>
      </c>
    </row>
    <row r="9" spans="1:7" x14ac:dyDescent="0.2">
      <c r="A9" s="3" t="s">
        <v>7</v>
      </c>
      <c r="B9" s="3" t="s">
        <v>29</v>
      </c>
      <c r="C9" s="4">
        <f>'Paso 1.1'!N8</f>
        <v>-315.10000000000002</v>
      </c>
      <c r="D9" s="4">
        <f>'Paso 6'!P9</f>
        <v>-1568.7053769039451</v>
      </c>
      <c r="E9" s="4">
        <f t="shared" si="0"/>
        <v>-1253.6053769039449</v>
      </c>
      <c r="G9" s="4">
        <f>-E9</f>
        <v>1253.6053769039449</v>
      </c>
    </row>
    <row r="10" spans="1:7" hidden="1" x14ac:dyDescent="0.2">
      <c r="A10" s="3" t="s">
        <v>8</v>
      </c>
      <c r="B10" s="3" t="s">
        <v>28</v>
      </c>
      <c r="C10" s="4">
        <f>'Paso 1.1'!N9</f>
        <v>-414</v>
      </c>
      <c r="D10" s="4">
        <f>'Paso 6'!P10</f>
        <v>-414</v>
      </c>
      <c r="E10" s="4">
        <f t="shared" si="0"/>
        <v>0</v>
      </c>
    </row>
    <row r="11" spans="1:7" hidden="1" x14ac:dyDescent="0.2">
      <c r="A11" s="3" t="s">
        <v>9</v>
      </c>
      <c r="B11" s="3" t="s">
        <v>28</v>
      </c>
      <c r="C11" s="4">
        <f>'Paso 1.1'!N10</f>
        <v>-306.73993375942013</v>
      </c>
      <c r="D11" s="4">
        <f>'Paso 6'!P11</f>
        <v>-306.73993375942013</v>
      </c>
      <c r="E11" s="4">
        <f t="shared" si="0"/>
        <v>0</v>
      </c>
    </row>
    <row r="12" spans="1:7" hidden="1" x14ac:dyDescent="0.2">
      <c r="A12" s="3" t="s">
        <v>10</v>
      </c>
      <c r="B12" s="3" t="s">
        <v>28</v>
      </c>
      <c r="C12" s="4">
        <f>'Paso 1.1'!N11</f>
        <v>-115</v>
      </c>
      <c r="D12" s="4">
        <f>'Paso 6'!P12</f>
        <v>-115</v>
      </c>
      <c r="E12" s="4">
        <f t="shared" si="0"/>
        <v>0</v>
      </c>
    </row>
    <row r="13" spans="1:7" ht="13.5" thickBot="1" x14ac:dyDescent="0.25">
      <c r="A13" s="157" t="s">
        <v>11</v>
      </c>
      <c r="B13" s="7" t="s">
        <v>28</v>
      </c>
      <c r="C13" s="8">
        <f>'Paso 1.1'!N12</f>
        <v>0</v>
      </c>
      <c r="D13" s="8">
        <f>'Paso 6'!P13</f>
        <v>-344.91083850908069</v>
      </c>
      <c r="E13" s="4">
        <f t="shared" si="0"/>
        <v>-344.91083850908069</v>
      </c>
      <c r="G13" s="4">
        <f>-E13</f>
        <v>344.91083850908069</v>
      </c>
    </row>
    <row r="14" spans="1:7" hidden="1" x14ac:dyDescent="0.2">
      <c r="A14" s="155" t="s">
        <v>12</v>
      </c>
      <c r="C14" s="4">
        <f>'Paso 1.1'!N13</f>
        <v>-1000</v>
      </c>
      <c r="D14" s="4">
        <f>'Paso 6'!P14</f>
        <v>-1000</v>
      </c>
      <c r="E14" s="4">
        <f t="shared" si="0"/>
        <v>0</v>
      </c>
    </row>
    <row r="15" spans="1:7" x14ac:dyDescent="0.2">
      <c r="A15" s="155" t="s">
        <v>13</v>
      </c>
      <c r="C15" s="4">
        <f>'Paso 1.1'!N14</f>
        <v>-970</v>
      </c>
      <c r="D15" s="4">
        <f>'Paso 6'!P15</f>
        <v>-20881.353033042244</v>
      </c>
      <c r="E15" s="4">
        <f t="shared" si="0"/>
        <v>-19911.353033042244</v>
      </c>
      <c r="G15" s="4">
        <f>-E15</f>
        <v>19911.353033042244</v>
      </c>
    </row>
    <row r="16" spans="1:7" x14ac:dyDescent="0.2">
      <c r="A16" s="155" t="s">
        <v>14</v>
      </c>
      <c r="C16" s="4">
        <f>'Paso 1.1'!N15</f>
        <v>-187.5</v>
      </c>
      <c r="D16" s="4">
        <f>'Paso 6'!P16</f>
        <v>-276.83548137915125</v>
      </c>
      <c r="E16" s="4">
        <f t="shared" si="0"/>
        <v>-89.335481379151247</v>
      </c>
      <c r="G16" s="4">
        <f>-E16</f>
        <v>89.335481379151247</v>
      </c>
    </row>
    <row r="17" spans="1:7" ht="13.5" thickBot="1" x14ac:dyDescent="0.25">
      <c r="A17" s="155" t="s">
        <v>15</v>
      </c>
      <c r="B17" s="7"/>
      <c r="C17" s="8">
        <f>'Paso 1.1'!N16</f>
        <v>-42.5</v>
      </c>
      <c r="D17" s="8">
        <f>'Paso 6'!P17</f>
        <v>18094.618239386178</v>
      </c>
      <c r="E17" s="4">
        <f t="shared" si="0"/>
        <v>18137.118239386178</v>
      </c>
      <c r="F17" s="4">
        <f>E17</f>
        <v>18137.118239386178</v>
      </c>
    </row>
    <row r="18" spans="1:7" x14ac:dyDescent="0.2">
      <c r="A18" s="155" t="s">
        <v>16</v>
      </c>
      <c r="C18" s="4">
        <f>'Paso 1.1'!N17</f>
        <v>-2305</v>
      </c>
      <c r="D18" s="4">
        <f>'Paso 6'!P18</f>
        <v>-2774.8824246488689</v>
      </c>
      <c r="E18" s="4">
        <f t="shared" si="0"/>
        <v>-469.88242464886889</v>
      </c>
      <c r="G18" s="4">
        <f>-E18</f>
        <v>469.88242464886889</v>
      </c>
    </row>
    <row r="19" spans="1:7" x14ac:dyDescent="0.2">
      <c r="A19" s="155" t="s">
        <v>17</v>
      </c>
      <c r="C19" s="4">
        <f>-C18/1.3</f>
        <v>1773.0769230769231</v>
      </c>
      <c r="D19" s="4">
        <f>'Paso 6'!P19</f>
        <v>2099.3095323437542</v>
      </c>
      <c r="E19" s="4">
        <f t="shared" si="0"/>
        <v>326.2326092668311</v>
      </c>
      <c r="F19" s="4">
        <f>E19</f>
        <v>326.2326092668311</v>
      </c>
    </row>
    <row r="20" spans="1:7" x14ac:dyDescent="0.2">
      <c r="A20" s="3" t="s">
        <v>18</v>
      </c>
      <c r="C20" s="4">
        <f>'Paso 1.1'!N19</f>
        <v>285</v>
      </c>
      <c r="D20" s="4">
        <f>'Paso 6'!P20</f>
        <v>339.81881484125131</v>
      </c>
      <c r="E20" s="4">
        <f t="shared" si="0"/>
        <v>54.81881484125131</v>
      </c>
      <c r="F20" s="4">
        <f t="shared" ref="F20:F23" si="1">E20</f>
        <v>54.81881484125131</v>
      </c>
    </row>
    <row r="21" spans="1:7" x14ac:dyDescent="0.2">
      <c r="A21" s="3" t="s">
        <v>19</v>
      </c>
      <c r="C21" s="4">
        <f>'Paso 1.1'!N20</f>
        <v>95.8</v>
      </c>
      <c r="D21" s="4">
        <f>'Paso 6'!P21</f>
        <v>261.73231868822404</v>
      </c>
      <c r="E21" s="4">
        <f t="shared" si="0"/>
        <v>165.93231868822403</v>
      </c>
      <c r="F21" s="4">
        <f t="shared" si="1"/>
        <v>165.93231868822403</v>
      </c>
    </row>
    <row r="22" spans="1:7" x14ac:dyDescent="0.2">
      <c r="A22" s="3" t="s">
        <v>20</v>
      </c>
      <c r="C22" s="4">
        <f>'Paso 1.1'!N21</f>
        <v>-313</v>
      </c>
      <c r="D22" s="4">
        <f>'Paso 6'!P22</f>
        <v>-140.07233410194215</v>
      </c>
      <c r="E22" s="4">
        <f t="shared" si="0"/>
        <v>172.92766589805785</v>
      </c>
      <c r="F22" s="4">
        <f t="shared" si="1"/>
        <v>172.92766589805785</v>
      </c>
    </row>
    <row r="23" spans="1:7" x14ac:dyDescent="0.2">
      <c r="A23" s="3" t="s">
        <v>21</v>
      </c>
      <c r="C23" s="4">
        <v>-188</v>
      </c>
      <c r="D23" s="4">
        <f>'Paso 6'!P23</f>
        <v>-135.7849024308735</v>
      </c>
      <c r="E23" s="4">
        <f t="shared" si="0"/>
        <v>52.215097569126499</v>
      </c>
      <c r="F23" s="4">
        <f t="shared" si="1"/>
        <v>52.215097569126499</v>
      </c>
    </row>
    <row r="24" spans="1:7" x14ac:dyDescent="0.2">
      <c r="A24" s="3" t="s">
        <v>22</v>
      </c>
      <c r="C24" s="4">
        <f>'Paso 1.1'!N23</f>
        <v>137.03473578021385</v>
      </c>
      <c r="D24" s="4">
        <f>'Paso 6'!P24</f>
        <v>46.718967989937084</v>
      </c>
      <c r="E24" s="4">
        <f t="shared" si="0"/>
        <v>-90.315767790276766</v>
      </c>
      <c r="G24" s="4">
        <f>-E24</f>
        <v>90.315767790276766</v>
      </c>
    </row>
    <row r="25" spans="1:7" x14ac:dyDescent="0.2">
      <c r="A25" s="3" t="s">
        <v>23</v>
      </c>
      <c r="C25" s="4">
        <f>'Paso 1.1'!N24</f>
        <v>115</v>
      </c>
      <c r="D25" s="4">
        <f>'Paso 6'!P25</f>
        <v>235.09696641472499</v>
      </c>
      <c r="E25" s="4">
        <f t="shared" si="0"/>
        <v>120.09696641472499</v>
      </c>
      <c r="F25" s="4">
        <f>E25</f>
        <v>120.09696641472499</v>
      </c>
    </row>
    <row r="26" spans="1:7" x14ac:dyDescent="0.2">
      <c r="A26" s="3" t="s">
        <v>25</v>
      </c>
      <c r="C26" s="4">
        <f>'Paso 1.1'!N25</f>
        <v>0</v>
      </c>
      <c r="D26" s="4">
        <f>'Paso 6'!P26</f>
        <v>652.80853510318138</v>
      </c>
      <c r="E26" s="4">
        <f t="shared" si="0"/>
        <v>652.80853510318138</v>
      </c>
      <c r="F26" s="4">
        <f>E26</f>
        <v>652.80853510318138</v>
      </c>
    </row>
    <row r="27" spans="1:7" x14ac:dyDescent="0.2">
      <c r="A27" s="3" t="s">
        <v>26</v>
      </c>
      <c r="C27" s="4">
        <f>'Paso 1.1'!N26</f>
        <v>0</v>
      </c>
      <c r="D27" s="4">
        <f>'Paso 6'!P27</f>
        <v>-156.07297891119947</v>
      </c>
      <c r="E27" s="4">
        <f t="shared" si="0"/>
        <v>-156.07297891119947</v>
      </c>
      <c r="G27" s="4">
        <f>-E27</f>
        <v>156.07297891119947</v>
      </c>
    </row>
    <row r="28" spans="1:7" x14ac:dyDescent="0.2">
      <c r="A28" s="9" t="s">
        <v>24</v>
      </c>
      <c r="B28" s="9"/>
      <c r="C28" s="61">
        <f t="shared" ref="C28" si="2">ROUND(SUM(C3:C27),0)</f>
        <v>0</v>
      </c>
      <c r="D28" s="61">
        <f t="shared" ref="D28:E28" si="3">ROUND(SUM(D3:D27),0)</f>
        <v>0</v>
      </c>
      <c r="E28" s="61">
        <f t="shared" si="3"/>
        <v>0</v>
      </c>
      <c r="F28" s="61">
        <f t="shared" ref="F28" si="4">ROUND(SUM(F3:F27),0)</f>
        <v>22315</v>
      </c>
      <c r="G28" s="61">
        <f t="shared" ref="G28" si="5">ROUND(SUM(G3:G27),0)</f>
        <v>22315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8"/>
  <sheetViews>
    <sheetView workbookViewId="0">
      <pane ySplit="3" topLeftCell="A312" activePane="bottomLeft" state="frozen"/>
      <selection pane="bottomLeft" activeCell="A302" sqref="A302"/>
    </sheetView>
  </sheetViews>
  <sheetFormatPr baseColWidth="10" defaultRowHeight="12.75" x14ac:dyDescent="0.2"/>
  <cols>
    <col min="1" max="1" width="16.42578125" style="3" customWidth="1"/>
    <col min="2" max="2" width="28.85546875" style="3" customWidth="1"/>
    <col min="3" max="16384" width="11.42578125" style="3"/>
  </cols>
  <sheetData>
    <row r="1" spans="1:2" ht="80.25" customHeight="1" thickBot="1" x14ac:dyDescent="0.25">
      <c r="A1" s="159" t="s">
        <v>30</v>
      </c>
      <c r="B1" s="160"/>
    </row>
    <row r="2" spans="1:2" ht="13.5" thickBot="1" x14ac:dyDescent="0.25"/>
    <row r="3" spans="1:2" ht="13.5" thickBot="1" x14ac:dyDescent="0.25">
      <c r="A3" s="11" t="s">
        <v>31</v>
      </c>
      <c r="B3" s="12" t="s">
        <v>32</v>
      </c>
    </row>
    <row r="4" spans="1:2" ht="22.5" customHeight="1" x14ac:dyDescent="0.2">
      <c r="A4" s="13">
        <v>33970</v>
      </c>
      <c r="B4" s="14">
        <v>7.4670667346606479</v>
      </c>
    </row>
    <row r="5" spans="1:2" ht="22.5" customHeight="1" x14ac:dyDescent="0.2">
      <c r="A5" s="15">
        <v>34001</v>
      </c>
      <c r="B5" s="16">
        <v>7.5009994172178738</v>
      </c>
    </row>
    <row r="6" spans="1:2" ht="22.5" customHeight="1" x14ac:dyDescent="0.2">
      <c r="A6" s="15">
        <v>34029</v>
      </c>
      <c r="B6" s="16">
        <v>7.522855448481697</v>
      </c>
    </row>
    <row r="7" spans="1:2" ht="22.5" customHeight="1" x14ac:dyDescent="0.2">
      <c r="A7" s="15">
        <v>34060</v>
      </c>
      <c r="B7" s="16">
        <v>7.5619707627410095</v>
      </c>
    </row>
    <row r="8" spans="1:2" ht="22.5" customHeight="1" x14ac:dyDescent="0.2">
      <c r="A8" s="15">
        <v>34090</v>
      </c>
      <c r="B8" s="16">
        <v>7.5379824857185964</v>
      </c>
    </row>
    <row r="9" spans="1:2" ht="22.5" customHeight="1" x14ac:dyDescent="0.2">
      <c r="A9" s="15">
        <v>34121</v>
      </c>
      <c r="B9" s="16">
        <v>7.5522868623991686</v>
      </c>
    </row>
    <row r="10" spans="1:2" ht="22.5" customHeight="1" x14ac:dyDescent="0.2">
      <c r="A10" s="15">
        <v>34151</v>
      </c>
      <c r="B10" s="16">
        <v>7.560007680282113</v>
      </c>
    </row>
    <row r="11" spans="1:2" ht="22.5" customHeight="1" x14ac:dyDescent="0.2">
      <c r="A11" s="15">
        <v>34182</v>
      </c>
      <c r="B11" s="16">
        <v>7.5932269137687038</v>
      </c>
    </row>
    <row r="12" spans="1:2" ht="22.5" customHeight="1" x14ac:dyDescent="0.2">
      <c r="A12" s="15">
        <v>34213</v>
      </c>
      <c r="B12" s="16">
        <v>7.5641672631575219</v>
      </c>
    </row>
    <row r="13" spans="1:2" ht="22.5" customHeight="1" x14ac:dyDescent="0.2">
      <c r="A13" s="15">
        <v>34243</v>
      </c>
      <c r="B13" s="16">
        <v>7.5769304654789558</v>
      </c>
    </row>
    <row r="14" spans="1:2" ht="22.5" customHeight="1" x14ac:dyDescent="0.2">
      <c r="A14" s="15">
        <v>34274</v>
      </c>
      <c r="B14" s="16">
        <v>7.5110623794019418</v>
      </c>
    </row>
    <row r="15" spans="1:2" ht="22.5" customHeight="1" x14ac:dyDescent="0.2">
      <c r="A15" s="15">
        <v>34304</v>
      </c>
      <c r="B15" s="16">
        <v>7.4488593912260432</v>
      </c>
    </row>
    <row r="16" spans="1:2" ht="22.5" customHeight="1" x14ac:dyDescent="0.2">
      <c r="A16" s="15">
        <v>34335</v>
      </c>
      <c r="B16" s="16">
        <v>7.4125880959717492</v>
      </c>
    </row>
    <row r="17" spans="1:2" ht="22.5" customHeight="1" x14ac:dyDescent="0.2">
      <c r="A17" s="15">
        <v>34366</v>
      </c>
      <c r="B17" s="16">
        <v>7.3658827644727394</v>
      </c>
    </row>
    <row r="18" spans="1:2" ht="22.5" customHeight="1" x14ac:dyDescent="0.2">
      <c r="A18" s="15">
        <v>34394</v>
      </c>
      <c r="B18" s="16">
        <v>7.3719092588597084</v>
      </c>
    </row>
    <row r="19" spans="1:2" ht="22.5" customHeight="1" x14ac:dyDescent="0.2">
      <c r="A19" s="15">
        <v>34425</v>
      </c>
      <c r="B19" s="16">
        <v>7.3982751718026973</v>
      </c>
    </row>
    <row r="20" spans="1:2" ht="22.5" customHeight="1" x14ac:dyDescent="0.2">
      <c r="A20" s="15">
        <v>34455</v>
      </c>
      <c r="B20" s="16">
        <v>7.4849060286153755</v>
      </c>
    </row>
    <row r="21" spans="1:2" ht="22.5" customHeight="1" x14ac:dyDescent="0.2">
      <c r="A21" s="15">
        <v>34486</v>
      </c>
      <c r="B21" s="16">
        <v>7.5436643488883224</v>
      </c>
    </row>
    <row r="22" spans="1:2" ht="22.5" customHeight="1" x14ac:dyDescent="0.2">
      <c r="A22" s="15">
        <v>34516</v>
      </c>
      <c r="B22" s="16">
        <v>7.5813299388068778</v>
      </c>
    </row>
    <row r="23" spans="1:2" ht="22.5" customHeight="1" x14ac:dyDescent="0.2">
      <c r="A23" s="15">
        <v>34547</v>
      </c>
      <c r="B23" s="16">
        <v>7.5737968208231674</v>
      </c>
    </row>
    <row r="24" spans="1:2" ht="22.5" customHeight="1" x14ac:dyDescent="0.2">
      <c r="A24" s="15">
        <v>34578</v>
      </c>
      <c r="B24" s="16">
        <v>7.5730435090247958</v>
      </c>
    </row>
    <row r="25" spans="1:2" ht="22.5" customHeight="1" x14ac:dyDescent="0.2">
      <c r="A25" s="15">
        <v>34608</v>
      </c>
      <c r="B25" s="16">
        <v>7.5941362393791874</v>
      </c>
    </row>
    <row r="26" spans="1:2" ht="22.5" customHeight="1" x14ac:dyDescent="0.2">
      <c r="A26" s="15">
        <v>34639</v>
      </c>
      <c r="B26" s="16">
        <v>7.6559078068456179</v>
      </c>
    </row>
    <row r="27" spans="1:2" ht="22.5" customHeight="1" x14ac:dyDescent="0.2">
      <c r="A27" s="15">
        <v>34669</v>
      </c>
      <c r="B27" s="16">
        <v>7.6687141074179266</v>
      </c>
    </row>
    <row r="28" spans="1:2" ht="22.5" customHeight="1" x14ac:dyDescent="0.2">
      <c r="A28" s="15">
        <v>34700</v>
      </c>
      <c r="B28" s="16">
        <v>7.7771910063833669</v>
      </c>
    </row>
    <row r="29" spans="1:2" ht="22.5" customHeight="1" x14ac:dyDescent="0.2">
      <c r="A29" s="15">
        <v>34731</v>
      </c>
      <c r="B29" s="16">
        <v>7.8073234783182119</v>
      </c>
    </row>
    <row r="30" spans="1:2" ht="22.5" customHeight="1" x14ac:dyDescent="0.2">
      <c r="A30" s="15">
        <v>34759</v>
      </c>
      <c r="B30" s="16">
        <v>7.7606181468192021</v>
      </c>
    </row>
    <row r="31" spans="1:2" ht="22.5" customHeight="1" x14ac:dyDescent="0.2">
      <c r="A31" s="15">
        <v>34790</v>
      </c>
      <c r="B31" s="16">
        <v>8.0205107172572365</v>
      </c>
    </row>
    <row r="32" spans="1:2" ht="22.5" customHeight="1" x14ac:dyDescent="0.2">
      <c r="A32" s="15">
        <v>34820</v>
      </c>
      <c r="B32" s="16">
        <v>8.0303037706360598</v>
      </c>
    </row>
    <row r="33" spans="1:2" ht="22.5" customHeight="1" x14ac:dyDescent="0.2">
      <c r="A33" s="15">
        <v>34851</v>
      </c>
      <c r="B33" s="16">
        <v>8.0551630599823092</v>
      </c>
    </row>
    <row r="34" spans="1:2" ht="22.5" customHeight="1" x14ac:dyDescent="0.2">
      <c r="A34" s="15">
        <v>34881</v>
      </c>
      <c r="B34" s="16">
        <v>8.0852955319171524</v>
      </c>
    </row>
    <row r="35" spans="1:2" ht="22.5" customHeight="1" x14ac:dyDescent="0.2">
      <c r="A35" s="15">
        <v>34912</v>
      </c>
      <c r="B35" s="16">
        <v>8.1101548212633983</v>
      </c>
    </row>
    <row r="36" spans="1:2" ht="22.5" customHeight="1" x14ac:dyDescent="0.2">
      <c r="A36" s="15">
        <v>34943</v>
      </c>
      <c r="B36" s="16">
        <v>8.1116614448601414</v>
      </c>
    </row>
    <row r="37" spans="1:2" ht="22.5" customHeight="1" x14ac:dyDescent="0.2">
      <c r="A37" s="15">
        <v>34973</v>
      </c>
      <c r="B37" s="16">
        <v>8.1026217032796879</v>
      </c>
    </row>
    <row r="38" spans="1:2" ht="22.5" customHeight="1" x14ac:dyDescent="0.2">
      <c r="A38" s="15">
        <v>35004</v>
      </c>
      <c r="B38" s="16">
        <v>8.0883087791106369</v>
      </c>
    </row>
    <row r="39" spans="1:2" ht="22.5" customHeight="1" x14ac:dyDescent="0.2">
      <c r="A39" s="15">
        <v>35034</v>
      </c>
      <c r="B39" s="16">
        <v>8.1154280038519975</v>
      </c>
    </row>
    <row r="40" spans="1:2" ht="22.5" customHeight="1" x14ac:dyDescent="0.2">
      <c r="A40" s="15">
        <v>35065</v>
      </c>
      <c r="B40" s="16">
        <v>8.1335074870129027</v>
      </c>
    </row>
    <row r="41" spans="1:2" ht="22.5" customHeight="1" x14ac:dyDescent="0.2">
      <c r="A41" s="15">
        <v>35096</v>
      </c>
      <c r="B41" s="16">
        <v>8.1252210572308208</v>
      </c>
    </row>
    <row r="42" spans="1:2" ht="22.5" customHeight="1" x14ac:dyDescent="0.2">
      <c r="A42" s="15">
        <v>35125</v>
      </c>
      <c r="B42" s="16">
        <v>8.1884992482939953</v>
      </c>
    </row>
    <row r="43" spans="1:2" ht="22.5" customHeight="1" x14ac:dyDescent="0.2">
      <c r="A43" s="15">
        <v>35156</v>
      </c>
      <c r="B43" s="16">
        <v>8.310535759630115</v>
      </c>
    </row>
    <row r="44" spans="1:2" ht="22.5" customHeight="1" x14ac:dyDescent="0.2">
      <c r="A44" s="15">
        <v>35186</v>
      </c>
      <c r="B44" s="16">
        <v>8.3293685545893918</v>
      </c>
    </row>
    <row r="45" spans="1:2" ht="22.5" customHeight="1" x14ac:dyDescent="0.2">
      <c r="A45" s="15">
        <v>35217</v>
      </c>
      <c r="B45" s="16">
        <v>8.2668436753245906</v>
      </c>
    </row>
    <row r="46" spans="1:2" ht="22.5" customHeight="1" x14ac:dyDescent="0.2">
      <c r="A46" s="15">
        <v>35247</v>
      </c>
      <c r="B46" s="16">
        <v>8.2570506219457656</v>
      </c>
    </row>
    <row r="47" spans="1:2" ht="22.5" customHeight="1" x14ac:dyDescent="0.2">
      <c r="A47" s="15">
        <v>35278</v>
      </c>
      <c r="B47" s="16">
        <v>8.2314380208011482</v>
      </c>
    </row>
    <row r="48" spans="1:2" ht="22.5" customHeight="1" x14ac:dyDescent="0.2">
      <c r="A48" s="15">
        <v>35309</v>
      </c>
      <c r="B48" s="16">
        <v>8.3256019955975376</v>
      </c>
    </row>
    <row r="49" spans="1:2" ht="22.5" customHeight="1" x14ac:dyDescent="0.2">
      <c r="A49" s="15">
        <v>35339</v>
      </c>
      <c r="B49" s="16">
        <v>8.3595010265242369</v>
      </c>
    </row>
    <row r="50" spans="1:2" ht="22.5" customHeight="1" x14ac:dyDescent="0.2">
      <c r="A50" s="15">
        <v>35370</v>
      </c>
      <c r="B50" s="16">
        <v>8.2939629000659494</v>
      </c>
    </row>
    <row r="51" spans="1:2" ht="22.5" customHeight="1" x14ac:dyDescent="0.2">
      <c r="A51" s="15">
        <v>35400</v>
      </c>
      <c r="B51" s="16">
        <v>8.2826632230903847</v>
      </c>
    </row>
    <row r="52" spans="1:2" ht="22.5" customHeight="1" x14ac:dyDescent="0.2">
      <c r="A52" s="15">
        <v>35431</v>
      </c>
      <c r="B52" s="16">
        <v>8.312795695025228</v>
      </c>
    </row>
    <row r="53" spans="1:2" ht="22.5" customHeight="1" x14ac:dyDescent="0.2">
      <c r="A53" s="15">
        <v>35462</v>
      </c>
      <c r="B53" s="16">
        <v>8.298482770856177</v>
      </c>
    </row>
    <row r="54" spans="1:2" ht="22.5" customHeight="1" x14ac:dyDescent="0.2">
      <c r="A54" s="15">
        <v>35490</v>
      </c>
      <c r="B54" s="16">
        <v>8.274376793308301</v>
      </c>
    </row>
    <row r="55" spans="1:2" ht="22.5" customHeight="1" x14ac:dyDescent="0.2">
      <c r="A55" s="15">
        <v>35521</v>
      </c>
      <c r="B55" s="16">
        <v>8.2382178269864887</v>
      </c>
    </row>
    <row r="56" spans="1:2" ht="22.5" customHeight="1" x14ac:dyDescent="0.2">
      <c r="A56" s="15">
        <v>35551</v>
      </c>
      <c r="B56" s="16">
        <v>8.2901963410740951</v>
      </c>
    </row>
    <row r="57" spans="1:2" ht="22.5" customHeight="1" x14ac:dyDescent="0.2">
      <c r="A57" s="15">
        <v>35582</v>
      </c>
      <c r="B57" s="16">
        <v>8.2570506219457656</v>
      </c>
    </row>
    <row r="58" spans="1:2" ht="22.5" customHeight="1" x14ac:dyDescent="0.2">
      <c r="A58" s="15">
        <v>35612</v>
      </c>
      <c r="B58" s="16">
        <v>8.2208916556239515</v>
      </c>
    </row>
    <row r="59" spans="1:2" ht="22.5" customHeight="1" x14ac:dyDescent="0.2">
      <c r="A59" s="15">
        <v>35643</v>
      </c>
      <c r="B59" s="16">
        <v>8.2773900405017855</v>
      </c>
    </row>
    <row r="60" spans="1:2" ht="22.5" customHeight="1" x14ac:dyDescent="0.2">
      <c r="A60" s="15">
        <v>35674</v>
      </c>
      <c r="B60" s="16">
        <v>8.2879364056789822</v>
      </c>
    </row>
    <row r="61" spans="1:2" ht="22.5" customHeight="1" x14ac:dyDescent="0.2">
      <c r="A61" s="15">
        <v>35704</v>
      </c>
      <c r="B61" s="16">
        <v>8.2781433523001571</v>
      </c>
    </row>
    <row r="62" spans="1:2" ht="22.5" customHeight="1" x14ac:dyDescent="0.2">
      <c r="A62" s="15">
        <v>35735</v>
      </c>
      <c r="B62" s="16">
        <v>8.2608171809376216</v>
      </c>
    </row>
    <row r="63" spans="1:2" ht="22.5" customHeight="1" x14ac:dyDescent="0.2">
      <c r="A63" s="15">
        <v>35765</v>
      </c>
      <c r="B63" s="16">
        <v>8.2065787314549006</v>
      </c>
    </row>
    <row r="64" spans="1:2" ht="22.5" customHeight="1" x14ac:dyDescent="0.2">
      <c r="A64" s="15">
        <v>35796</v>
      </c>
      <c r="B64" s="16">
        <v>8.1026217032796879</v>
      </c>
    </row>
    <row r="65" spans="1:2" ht="22.5" customHeight="1" x14ac:dyDescent="0.2">
      <c r="A65" s="15">
        <v>35827</v>
      </c>
      <c r="B65" s="16">
        <v>8.1312475516177898</v>
      </c>
    </row>
    <row r="66" spans="1:2" ht="22.5" customHeight="1" x14ac:dyDescent="0.2">
      <c r="A66" s="15">
        <v>35855</v>
      </c>
      <c r="B66" s="16">
        <v>8.1101548212633983</v>
      </c>
    </row>
    <row r="67" spans="1:2" ht="22.5" customHeight="1" x14ac:dyDescent="0.2">
      <c r="A67" s="15">
        <v>35886</v>
      </c>
      <c r="B67" s="16">
        <v>8.1169346274487388</v>
      </c>
    </row>
    <row r="68" spans="1:2" ht="22.5" customHeight="1" x14ac:dyDescent="0.2">
      <c r="A68" s="15">
        <v>35916</v>
      </c>
      <c r="B68" s="16">
        <v>8.100361767884575</v>
      </c>
    </row>
    <row r="69" spans="1:2" ht="22.5" customHeight="1" x14ac:dyDescent="0.2">
      <c r="A69" s="15">
        <v>35947</v>
      </c>
      <c r="B69" s="16">
        <v>8.100361767884575</v>
      </c>
    </row>
    <row r="70" spans="1:2" ht="22.5" customHeight="1" x14ac:dyDescent="0.2">
      <c r="A70" s="15">
        <v>35977</v>
      </c>
      <c r="B70" s="16">
        <v>8.0762557903366989</v>
      </c>
    </row>
    <row r="71" spans="1:2" ht="22.5" customHeight="1" x14ac:dyDescent="0.2">
      <c r="A71" s="15">
        <v>36008</v>
      </c>
      <c r="B71" s="16">
        <v>8.0250305880474642</v>
      </c>
    </row>
    <row r="72" spans="1:2" ht="22.5" customHeight="1" x14ac:dyDescent="0.2">
      <c r="A72" s="15">
        <v>36039</v>
      </c>
      <c r="B72" s="16">
        <v>7.9406596666298981</v>
      </c>
    </row>
    <row r="73" spans="1:2" ht="22.5" customHeight="1" x14ac:dyDescent="0.2">
      <c r="A73" s="15">
        <v>36069</v>
      </c>
      <c r="B73" s="16">
        <v>7.8547821216155915</v>
      </c>
    </row>
    <row r="74" spans="1:2" ht="22.5" customHeight="1" x14ac:dyDescent="0.2">
      <c r="A74" s="15">
        <v>36100</v>
      </c>
      <c r="B74" s="16">
        <v>7.7817108771735937</v>
      </c>
    </row>
    <row r="75" spans="1:2" ht="22.5" customHeight="1" x14ac:dyDescent="0.2">
      <c r="A75" s="15">
        <v>36130</v>
      </c>
      <c r="B75" s="16">
        <v>7.6928200849658026</v>
      </c>
    </row>
    <row r="76" spans="1:2" ht="22.5" customHeight="1" x14ac:dyDescent="0.2">
      <c r="A76" s="15">
        <v>36161</v>
      </c>
      <c r="B76" s="16">
        <v>7.6581677422407308</v>
      </c>
    </row>
    <row r="77" spans="1:2" ht="22.5" customHeight="1" x14ac:dyDescent="0.2">
      <c r="A77" s="15">
        <v>36192</v>
      </c>
      <c r="B77" s="16">
        <v>7.5948895511775572</v>
      </c>
    </row>
    <row r="78" spans="1:2" ht="22.5" customHeight="1" x14ac:dyDescent="0.2">
      <c r="A78" s="15">
        <v>36220</v>
      </c>
      <c r="B78" s="16">
        <v>7.6107090989433512</v>
      </c>
    </row>
    <row r="79" spans="1:2" ht="22.5" customHeight="1" x14ac:dyDescent="0.2">
      <c r="A79" s="15">
        <v>36251</v>
      </c>
      <c r="B79" s="16">
        <v>7.6845336551837207</v>
      </c>
    </row>
    <row r="80" spans="1:2" ht="22.5" customHeight="1" x14ac:dyDescent="0.2">
      <c r="A80" s="15">
        <v>36281</v>
      </c>
      <c r="B80" s="16">
        <v>7.6815204079902362</v>
      </c>
    </row>
    <row r="81" spans="1:2" ht="22.5" customHeight="1" x14ac:dyDescent="0.2">
      <c r="A81" s="15">
        <v>36312</v>
      </c>
      <c r="B81" s="16">
        <v>7.6747406018048956</v>
      </c>
    </row>
    <row r="82" spans="1:2" ht="22.5" customHeight="1" x14ac:dyDescent="0.2">
      <c r="A82" s="15">
        <v>36342</v>
      </c>
      <c r="B82" s="16">
        <v>7.6890535259739465</v>
      </c>
    </row>
    <row r="83" spans="1:2" ht="22.5" customHeight="1" x14ac:dyDescent="0.2">
      <c r="A83" s="15">
        <v>36373</v>
      </c>
      <c r="B83" s="16">
        <v>7.7086396327315958</v>
      </c>
    </row>
    <row r="84" spans="1:2" ht="22.5" customHeight="1" x14ac:dyDescent="0.2">
      <c r="A84" s="15">
        <v>36404</v>
      </c>
      <c r="B84" s="16">
        <v>7.7734244473915117</v>
      </c>
    </row>
    <row r="85" spans="1:2" ht="22.5" customHeight="1" x14ac:dyDescent="0.2">
      <c r="A85" s="15">
        <v>36434</v>
      </c>
      <c r="B85" s="16">
        <v>7.7643847058110582</v>
      </c>
    </row>
    <row r="86" spans="1:2" ht="22.5" customHeight="1" x14ac:dyDescent="0.2">
      <c r="A86" s="15">
        <v>36465</v>
      </c>
      <c r="B86" s="16">
        <v>7.7478118462468935</v>
      </c>
    </row>
    <row r="87" spans="1:2" ht="22.5" customHeight="1" x14ac:dyDescent="0.2">
      <c r="A87" s="15">
        <v>36495</v>
      </c>
      <c r="B87" s="16">
        <v>7.7854774361654489</v>
      </c>
    </row>
    <row r="88" spans="1:2" ht="22.5" customHeight="1" x14ac:dyDescent="0.2">
      <c r="A88" s="15">
        <v>36526</v>
      </c>
      <c r="B88" s="16">
        <v>7.8788880991634676</v>
      </c>
    </row>
    <row r="89" spans="1:2" ht="22.5" customHeight="1" x14ac:dyDescent="0.2">
      <c r="A89" s="15">
        <v>36557</v>
      </c>
      <c r="B89" s="16">
        <v>7.9474394728152387</v>
      </c>
    </row>
    <row r="90" spans="1:2" ht="22.5" customHeight="1" x14ac:dyDescent="0.2">
      <c r="A90" s="15">
        <v>36586</v>
      </c>
      <c r="B90" s="16">
        <v>7.9881183099272794</v>
      </c>
    </row>
    <row r="91" spans="1:2" ht="22.5" customHeight="1" x14ac:dyDescent="0.2">
      <c r="A91" s="15">
        <v>36617</v>
      </c>
      <c r="B91" s="16">
        <v>7.8909410879374056</v>
      </c>
    </row>
    <row r="92" spans="1:2" ht="22.5" customHeight="1" x14ac:dyDescent="0.2">
      <c r="A92" s="15">
        <v>36647</v>
      </c>
      <c r="B92" s="16">
        <v>7.9738053857582276</v>
      </c>
    </row>
    <row r="93" spans="1:2" ht="22.5" customHeight="1" x14ac:dyDescent="0.2">
      <c r="A93" s="15">
        <v>36678</v>
      </c>
      <c r="B93" s="16">
        <v>8.0159908464670089</v>
      </c>
    </row>
    <row r="94" spans="1:2" ht="22.5" customHeight="1" x14ac:dyDescent="0.2">
      <c r="A94" s="15">
        <v>36708</v>
      </c>
      <c r="B94" s="16">
        <v>8.0046911694914442</v>
      </c>
    </row>
    <row r="95" spans="1:2" ht="22.5" customHeight="1" x14ac:dyDescent="0.2">
      <c r="A95" s="15">
        <v>36739</v>
      </c>
      <c r="B95" s="16">
        <v>8.0190040936604952</v>
      </c>
    </row>
    <row r="96" spans="1:2" ht="22.5" customHeight="1" x14ac:dyDescent="0.2">
      <c r="A96" s="15">
        <v>36770</v>
      </c>
      <c r="B96" s="16">
        <v>8.1161813156503673</v>
      </c>
    </row>
    <row r="97" spans="1:2" ht="22.5" customHeight="1" x14ac:dyDescent="0.2">
      <c r="A97" s="15">
        <v>36800</v>
      </c>
      <c r="B97" s="16">
        <v>8.1327541752145311</v>
      </c>
    </row>
    <row r="98" spans="1:2" ht="22.5" customHeight="1" x14ac:dyDescent="0.2">
      <c r="A98" s="15">
        <v>36831</v>
      </c>
      <c r="B98" s="16">
        <v>8.1229611218357078</v>
      </c>
    </row>
    <row r="99" spans="1:2" ht="22.5" customHeight="1" x14ac:dyDescent="0.2">
      <c r="A99" s="15">
        <v>36861</v>
      </c>
      <c r="B99" s="16">
        <v>7.9722987621614854</v>
      </c>
    </row>
    <row r="100" spans="1:2" ht="22.5" customHeight="1" x14ac:dyDescent="0.2">
      <c r="A100" s="15">
        <v>36892</v>
      </c>
      <c r="B100" s="16">
        <v>7.9753120093549699</v>
      </c>
    </row>
    <row r="101" spans="1:2" ht="22.5" customHeight="1" x14ac:dyDescent="0.2">
      <c r="A101" s="15">
        <v>36923</v>
      </c>
      <c r="B101" s="16">
        <v>7.9843517509354225</v>
      </c>
    </row>
    <row r="102" spans="1:2" ht="22.5" customHeight="1" x14ac:dyDescent="0.2">
      <c r="A102" s="15">
        <v>36951</v>
      </c>
      <c r="B102" s="16">
        <v>7.9316199250494455</v>
      </c>
    </row>
    <row r="103" spans="1:2" ht="22.5" customHeight="1" x14ac:dyDescent="0.2">
      <c r="A103" s="15">
        <v>36982</v>
      </c>
      <c r="B103" s="16">
        <v>7.9165536890820229</v>
      </c>
    </row>
    <row r="104" spans="1:2" ht="22.5" customHeight="1" x14ac:dyDescent="0.2">
      <c r="A104" s="15">
        <v>37012</v>
      </c>
      <c r="B104" s="16">
        <v>7.922580183468992</v>
      </c>
    </row>
    <row r="105" spans="1:2" ht="22.5" customHeight="1" x14ac:dyDescent="0.2">
      <c r="A105" s="15">
        <v>37043</v>
      </c>
      <c r="B105" s="16">
        <v>7.8871745289455495</v>
      </c>
    </row>
    <row r="106" spans="1:2" ht="22.5" customHeight="1" x14ac:dyDescent="0.2">
      <c r="A106" s="15">
        <v>37073</v>
      </c>
      <c r="B106" s="16">
        <v>7.8593019924058183</v>
      </c>
    </row>
    <row r="107" spans="1:2" ht="22.5" customHeight="1" x14ac:dyDescent="0.2">
      <c r="A107" s="15">
        <v>37104</v>
      </c>
      <c r="B107" s="16">
        <v>7.8208830906888913</v>
      </c>
    </row>
    <row r="108" spans="1:2" ht="22.5" customHeight="1" x14ac:dyDescent="0.2">
      <c r="A108" s="15">
        <v>37135</v>
      </c>
      <c r="B108" s="16">
        <v>7.786984059762192</v>
      </c>
    </row>
    <row r="109" spans="1:2" ht="22.5" customHeight="1" x14ac:dyDescent="0.2">
      <c r="A109" s="15">
        <v>37165</v>
      </c>
      <c r="B109" s="16">
        <v>7.6702207310146688</v>
      </c>
    </row>
    <row r="110" spans="1:2" ht="22.5" customHeight="1" x14ac:dyDescent="0.2">
      <c r="A110" s="15">
        <v>37196</v>
      </c>
      <c r="B110" s="16">
        <v>7.5632504556459716</v>
      </c>
    </row>
    <row r="111" spans="1:2" ht="22.5" customHeight="1" x14ac:dyDescent="0.2">
      <c r="A111" s="15">
        <v>37226</v>
      </c>
      <c r="B111" s="16">
        <v>7.5496908432752914</v>
      </c>
    </row>
    <row r="112" spans="1:2" ht="22.5" customHeight="1" x14ac:dyDescent="0.2">
      <c r="A112" s="15">
        <v>37257</v>
      </c>
      <c r="B112" s="16">
        <v>8.0303037706360598</v>
      </c>
    </row>
    <row r="113" spans="1:2" ht="22.5" customHeight="1" x14ac:dyDescent="0.2">
      <c r="A113" s="15">
        <v>37288</v>
      </c>
      <c r="B113" s="16">
        <v>9.0201554736957021</v>
      </c>
    </row>
    <row r="114" spans="1:2" ht="22.5" customHeight="1" x14ac:dyDescent="0.2">
      <c r="A114" s="15">
        <v>37316</v>
      </c>
      <c r="B114" s="16">
        <v>10.154643042042599</v>
      </c>
    </row>
    <row r="115" spans="1:2" ht="22.5" customHeight="1" x14ac:dyDescent="0.2">
      <c r="A115" s="15">
        <v>37347</v>
      </c>
      <c r="B115" s="16">
        <v>12.176531908870665</v>
      </c>
    </row>
    <row r="116" spans="1:2" ht="22.5" customHeight="1" x14ac:dyDescent="0.2">
      <c r="A116" s="15">
        <v>37377</v>
      </c>
      <c r="B116" s="16">
        <v>13.677882323024292</v>
      </c>
    </row>
    <row r="117" spans="1:2" ht="22.5" customHeight="1" x14ac:dyDescent="0.2">
      <c r="A117" s="15">
        <v>37408</v>
      </c>
      <c r="B117" s="16">
        <v>14.84626892229789</v>
      </c>
    </row>
    <row r="118" spans="1:2" ht="22.5" customHeight="1" x14ac:dyDescent="0.2">
      <c r="A118" s="15">
        <v>37438</v>
      </c>
      <c r="B118" s="16">
        <v>15.536302529605829</v>
      </c>
    </row>
    <row r="119" spans="1:2" ht="22.5" customHeight="1" x14ac:dyDescent="0.2">
      <c r="A119" s="15">
        <v>37469</v>
      </c>
      <c r="B119" s="16">
        <v>16.319746799911783</v>
      </c>
    </row>
    <row r="120" spans="1:2" ht="22.5" customHeight="1" x14ac:dyDescent="0.2">
      <c r="A120" s="15">
        <v>37500</v>
      </c>
      <c r="B120" s="16">
        <v>16.717495429451731</v>
      </c>
    </row>
    <row r="121" spans="1:2" ht="22.5" customHeight="1" x14ac:dyDescent="0.2">
      <c r="A121" s="15">
        <v>37530</v>
      </c>
      <c r="B121" s="16">
        <v>16.800359727272557</v>
      </c>
    </row>
    <row r="122" spans="1:2" ht="22.5" customHeight="1" x14ac:dyDescent="0.2">
      <c r="A122" s="15">
        <v>37561</v>
      </c>
      <c r="B122" s="16">
        <v>16.521634361875243</v>
      </c>
    </row>
    <row r="123" spans="1:2" ht="22.5" customHeight="1" x14ac:dyDescent="0.2">
      <c r="A123" s="15">
        <v>37591</v>
      </c>
      <c r="B123" s="16">
        <v>16.455342923618584</v>
      </c>
    </row>
    <row r="124" spans="1:2" ht="22.5" customHeight="1" x14ac:dyDescent="0.2">
      <c r="A124" s="15">
        <v>37622</v>
      </c>
      <c r="B124" s="16">
        <v>16.52464760906873</v>
      </c>
    </row>
    <row r="125" spans="1:2" ht="22.5" customHeight="1" x14ac:dyDescent="0.2">
      <c r="A125" s="15">
        <v>37653</v>
      </c>
      <c r="B125" s="16">
        <v>16.588679111930272</v>
      </c>
    </row>
    <row r="126" spans="1:2" ht="22.5" customHeight="1" x14ac:dyDescent="0.2">
      <c r="A126" s="15">
        <v>37681</v>
      </c>
      <c r="B126" s="16">
        <v>16.474929030376234</v>
      </c>
    </row>
    <row r="127" spans="1:2" ht="22.5" customHeight="1" x14ac:dyDescent="0.2">
      <c r="A127" s="15">
        <v>37712</v>
      </c>
      <c r="B127" s="16">
        <v>16.173604311027788</v>
      </c>
    </row>
    <row r="128" spans="1:2" ht="22.5" customHeight="1" x14ac:dyDescent="0.2">
      <c r="A128" s="15">
        <v>37742</v>
      </c>
      <c r="B128" s="16">
        <v>16.070400594650948</v>
      </c>
    </row>
    <row r="129" spans="1:2" ht="22.5" customHeight="1" x14ac:dyDescent="0.2">
      <c r="A129" s="15">
        <v>37773</v>
      </c>
      <c r="B129" s="16">
        <v>16.048554552498185</v>
      </c>
    </row>
    <row r="130" spans="1:2" ht="22.5" customHeight="1" x14ac:dyDescent="0.2">
      <c r="A130" s="15">
        <v>37803</v>
      </c>
      <c r="B130" s="16">
        <v>16.042528058111216</v>
      </c>
    </row>
    <row r="131" spans="1:2" ht="22.5" customHeight="1" x14ac:dyDescent="0.2">
      <c r="A131" s="15">
        <v>37834</v>
      </c>
      <c r="B131" s="16">
        <v>16.26174179143721</v>
      </c>
    </row>
    <row r="132" spans="1:2" ht="22.5" customHeight="1" x14ac:dyDescent="0.2">
      <c r="A132" s="17">
        <v>37865</v>
      </c>
      <c r="B132" s="16">
        <v>16.233869254897478</v>
      </c>
    </row>
    <row r="133" spans="1:2" ht="22.5" customHeight="1" x14ac:dyDescent="0.2">
      <c r="A133" s="17">
        <v>37895</v>
      </c>
      <c r="B133" s="16">
        <v>16.320500111710157</v>
      </c>
    </row>
    <row r="134" spans="1:2" ht="22.5" customHeight="1" x14ac:dyDescent="0.2">
      <c r="A134" s="17">
        <v>37926</v>
      </c>
      <c r="B134" s="16">
        <v>16.489995266343655</v>
      </c>
    </row>
    <row r="135" spans="1:2" ht="22.5" customHeight="1" x14ac:dyDescent="0.2">
      <c r="A135" s="17">
        <v>37956</v>
      </c>
      <c r="B135" s="16">
        <v>16.777007061523051</v>
      </c>
    </row>
    <row r="136" spans="1:2" ht="22.5" customHeight="1" x14ac:dyDescent="0.2">
      <c r="A136" s="17">
        <v>37987</v>
      </c>
      <c r="B136" s="16">
        <v>16.720508676645217</v>
      </c>
    </row>
    <row r="137" spans="1:2" ht="22.5" customHeight="1" x14ac:dyDescent="0.2">
      <c r="A137" s="17">
        <v>38018</v>
      </c>
      <c r="B137" s="16">
        <v>16.953282022341892</v>
      </c>
    </row>
    <row r="138" spans="1:2" ht="22.5" customHeight="1" x14ac:dyDescent="0.2">
      <c r="A138" s="17">
        <v>38047</v>
      </c>
      <c r="B138" s="16">
        <v>17.027106578582259</v>
      </c>
    </row>
    <row r="139" spans="1:2" ht="22.5" customHeight="1" x14ac:dyDescent="0.2">
      <c r="A139" s="17">
        <v>38078</v>
      </c>
      <c r="B139" s="16">
        <v>17.16345601408743</v>
      </c>
    </row>
    <row r="140" spans="1:2" ht="22.5" customHeight="1" x14ac:dyDescent="0.2">
      <c r="A140" s="17">
        <v>38108</v>
      </c>
      <c r="B140" s="16">
        <v>17.384176371010167</v>
      </c>
    </row>
    <row r="141" spans="1:2" ht="22.5" customHeight="1" x14ac:dyDescent="0.2">
      <c r="A141" s="17">
        <v>38139</v>
      </c>
      <c r="B141" s="16">
        <v>17.423348584525463</v>
      </c>
    </row>
    <row r="142" spans="1:2" ht="22.5" customHeight="1" x14ac:dyDescent="0.2">
      <c r="A142" s="17">
        <v>38169</v>
      </c>
      <c r="B142" s="16">
        <v>17.58305068578014</v>
      </c>
    </row>
    <row r="143" spans="1:2" ht="22.5" customHeight="1" x14ac:dyDescent="0.2">
      <c r="A143" s="17">
        <v>38200</v>
      </c>
      <c r="B143" s="16">
        <v>18.00867185185982</v>
      </c>
    </row>
    <row r="144" spans="1:2" ht="22.5" customHeight="1" x14ac:dyDescent="0.2">
      <c r="A144" s="17">
        <v>38231</v>
      </c>
      <c r="B144" s="16">
        <v>18.050857312568603</v>
      </c>
    </row>
    <row r="145" spans="1:2" ht="22.5" customHeight="1" x14ac:dyDescent="0.2">
      <c r="A145" s="17">
        <v>38261</v>
      </c>
      <c r="B145" s="16">
        <v>18.156320964340559</v>
      </c>
    </row>
    <row r="146" spans="1:2" ht="22.5" customHeight="1" x14ac:dyDescent="0.2">
      <c r="A146" s="17">
        <v>38292</v>
      </c>
      <c r="B146" s="16">
        <v>17.940120478208048</v>
      </c>
    </row>
    <row r="147" spans="1:2" ht="22.5" customHeight="1" x14ac:dyDescent="0.2">
      <c r="A147" s="17">
        <v>38322</v>
      </c>
      <c r="B147" s="16">
        <v>18.096809332269238</v>
      </c>
    </row>
    <row r="148" spans="1:2" ht="22.5" customHeight="1" x14ac:dyDescent="0.2">
      <c r="A148" s="17">
        <v>38353</v>
      </c>
      <c r="B148" s="16">
        <v>17.923547618643884</v>
      </c>
    </row>
    <row r="149" spans="1:2" ht="22.5" customHeight="1" x14ac:dyDescent="0.2">
      <c r="A149" s="17">
        <v>38384</v>
      </c>
      <c r="B149" s="16">
        <v>18.114135503631775</v>
      </c>
    </row>
    <row r="150" spans="1:2" ht="22.5" customHeight="1" x14ac:dyDescent="0.2">
      <c r="A150" s="17">
        <v>38412</v>
      </c>
      <c r="B150" s="16">
        <v>18.471205296059683</v>
      </c>
    </row>
    <row r="151" spans="1:2" ht="22.5" customHeight="1" x14ac:dyDescent="0.2">
      <c r="A151" s="17">
        <v>38443</v>
      </c>
      <c r="B151" s="16">
        <v>18.740890919876541</v>
      </c>
    </row>
    <row r="152" spans="1:2" ht="22.5" customHeight="1" x14ac:dyDescent="0.2">
      <c r="A152" s="17">
        <v>38473</v>
      </c>
      <c r="B152" s="16">
        <v>18.72733130750586</v>
      </c>
    </row>
    <row r="153" spans="1:2" ht="22.5" customHeight="1" x14ac:dyDescent="0.2">
      <c r="A153" s="17">
        <v>38504</v>
      </c>
      <c r="B153" s="16">
        <v>18.771776703609756</v>
      </c>
    </row>
    <row r="154" spans="1:2" ht="22.5" customHeight="1" x14ac:dyDescent="0.2">
      <c r="A154" s="17">
        <v>38534</v>
      </c>
      <c r="B154" s="16">
        <v>19.006809984701544</v>
      </c>
    </row>
    <row r="155" spans="1:2" ht="22.5" customHeight="1" x14ac:dyDescent="0.2">
      <c r="A155" s="17">
        <v>38565</v>
      </c>
      <c r="B155" s="16">
        <v>19.244103201188445</v>
      </c>
    </row>
    <row r="156" spans="1:2" ht="22.5" customHeight="1" x14ac:dyDescent="0.2">
      <c r="A156" s="17">
        <v>38596</v>
      </c>
      <c r="B156" s="16">
        <v>19.607952799801694</v>
      </c>
    </row>
    <row r="157" spans="1:2" ht="22.5" customHeight="1" x14ac:dyDescent="0.2">
      <c r="A157" s="17">
        <v>38626</v>
      </c>
      <c r="B157" s="16">
        <v>19.828673156724431</v>
      </c>
    </row>
    <row r="158" spans="1:2" ht="22.5" customHeight="1" x14ac:dyDescent="0.2">
      <c r="A158" s="17">
        <v>38657</v>
      </c>
      <c r="B158" s="16">
        <v>19.844492704490222</v>
      </c>
    </row>
    <row r="159" spans="1:2" ht="22.5" customHeight="1" x14ac:dyDescent="0.2">
      <c r="A159" s="17">
        <v>38687</v>
      </c>
      <c r="B159" s="18">
        <v>20.022274288905805</v>
      </c>
    </row>
    <row r="160" spans="1:2" ht="22.5" customHeight="1" x14ac:dyDescent="0.2">
      <c r="A160" s="17">
        <v>38718</v>
      </c>
      <c r="B160" s="18">
        <v>20.294219848117773</v>
      </c>
    </row>
    <row r="161" spans="1:2" ht="22.5" customHeight="1" x14ac:dyDescent="0.2">
      <c r="A161" s="17">
        <v>38749</v>
      </c>
      <c r="B161" s="16">
        <v>20.61513067422387</v>
      </c>
    </row>
    <row r="162" spans="1:2" ht="22.5" customHeight="1" x14ac:dyDescent="0.2">
      <c r="A162" s="17">
        <v>38777</v>
      </c>
      <c r="B162" s="16">
        <v>20.487067668500778</v>
      </c>
    </row>
    <row r="163" spans="1:2" ht="22.5" customHeight="1" x14ac:dyDescent="0.2">
      <c r="A163" s="17">
        <v>38808</v>
      </c>
      <c r="B163" s="16">
        <v>20.783872517058995</v>
      </c>
    </row>
    <row r="164" spans="1:2" ht="22.5" customHeight="1" x14ac:dyDescent="0.2">
      <c r="A164" s="17">
        <v>38838</v>
      </c>
      <c r="B164" s="16">
        <v>20.866736814879822</v>
      </c>
    </row>
    <row r="165" spans="1:2" ht="22.5" customHeight="1" x14ac:dyDescent="0.2">
      <c r="A165" s="17">
        <v>38869</v>
      </c>
      <c r="B165" s="16">
        <v>21.034725345916581</v>
      </c>
    </row>
    <row r="166" spans="1:2" ht="22.5" customHeight="1" x14ac:dyDescent="0.2">
      <c r="A166" s="17">
        <v>38899</v>
      </c>
      <c r="B166" s="16">
        <v>21.184634393792432</v>
      </c>
    </row>
    <row r="167" spans="1:2" ht="22.5" customHeight="1" x14ac:dyDescent="0.2">
      <c r="A167" s="17">
        <v>38930</v>
      </c>
      <c r="B167" s="16">
        <v>21.320983829297599</v>
      </c>
    </row>
    <row r="168" spans="1:2" ht="22.5" customHeight="1" x14ac:dyDescent="0.2">
      <c r="A168" s="17">
        <v>38961</v>
      </c>
      <c r="B168" s="16">
        <v>21.265238756218142</v>
      </c>
    </row>
    <row r="169" spans="1:2" ht="22.5" customHeight="1" x14ac:dyDescent="0.2">
      <c r="A169" s="17">
        <v>38991</v>
      </c>
      <c r="B169" s="16">
        <v>21.353376236627557</v>
      </c>
    </row>
    <row r="170" spans="1:2" ht="22.5" customHeight="1" x14ac:dyDescent="0.2">
      <c r="A170" s="17">
        <v>39022</v>
      </c>
      <c r="B170" s="16">
        <v>21.373715655183581</v>
      </c>
    </row>
    <row r="171" spans="1:2" ht="22.5" customHeight="1" x14ac:dyDescent="0.2">
      <c r="A171" s="17">
        <v>39052</v>
      </c>
      <c r="B171" s="16">
        <v>21.458086576601147</v>
      </c>
    </row>
    <row r="172" spans="1:2" ht="22.5" customHeight="1" x14ac:dyDescent="0.2">
      <c r="A172" s="17">
        <v>39083</v>
      </c>
      <c r="B172" s="16">
        <v>21.533417756438258</v>
      </c>
    </row>
    <row r="173" spans="1:2" ht="22.5" customHeight="1" x14ac:dyDescent="0.2">
      <c r="A173" s="17">
        <v>39114</v>
      </c>
      <c r="B173" s="16">
        <v>21.711952652652212</v>
      </c>
    </row>
    <row r="174" spans="1:2" ht="22.5" customHeight="1" x14ac:dyDescent="0.2">
      <c r="A174" s="17">
        <v>39142</v>
      </c>
      <c r="B174" s="16">
        <v>21.847548776359009</v>
      </c>
    </row>
    <row r="175" spans="1:2" ht="22.5" customHeight="1" x14ac:dyDescent="0.2">
      <c r="A175" s="17">
        <v>39173</v>
      </c>
      <c r="B175" s="16">
        <v>22.225711299141309</v>
      </c>
    </row>
    <row r="176" spans="1:2" ht="22.5" customHeight="1" x14ac:dyDescent="0.2">
      <c r="A176" s="17">
        <v>39203</v>
      </c>
      <c r="B176" s="16">
        <v>22.570728102795279</v>
      </c>
    </row>
    <row r="177" spans="1:2" ht="22.5" customHeight="1" x14ac:dyDescent="0.2">
      <c r="A177" s="17">
        <v>39234</v>
      </c>
      <c r="B177" s="16">
        <v>23.009908881245636</v>
      </c>
    </row>
    <row r="178" spans="1:2" ht="22.5" customHeight="1" x14ac:dyDescent="0.2">
      <c r="A178" s="17">
        <v>39264</v>
      </c>
      <c r="B178" s="16">
        <v>23.531953957516816</v>
      </c>
    </row>
    <row r="179" spans="1:2" ht="22.5" customHeight="1" x14ac:dyDescent="0.2">
      <c r="A179" s="17">
        <v>39295</v>
      </c>
      <c r="B179" s="16">
        <v>23.711242165529143</v>
      </c>
    </row>
    <row r="180" spans="1:2" ht="22.5" customHeight="1" x14ac:dyDescent="0.2">
      <c r="A180" s="17">
        <v>39326</v>
      </c>
      <c r="B180" s="16">
        <v>23.954561876403012</v>
      </c>
    </row>
    <row r="181" spans="1:2" ht="22.5" customHeight="1" x14ac:dyDescent="0.2">
      <c r="A181" s="17">
        <v>39356</v>
      </c>
      <c r="B181" s="16">
        <v>24.175282233325749</v>
      </c>
    </row>
    <row r="182" spans="1:2" ht="22.5" customHeight="1" x14ac:dyDescent="0.2">
      <c r="A182" s="17">
        <v>39387</v>
      </c>
      <c r="B182" s="16">
        <v>24.42839499757844</v>
      </c>
    </row>
    <row r="183" spans="1:2" ht="22.5" customHeight="1" x14ac:dyDescent="0.2">
      <c r="A183" s="17">
        <v>39417</v>
      </c>
      <c r="B183" s="16">
        <v>24.582070604446148</v>
      </c>
    </row>
    <row r="184" spans="1:2" ht="22.5" customHeight="1" x14ac:dyDescent="0.2">
      <c r="A184" s="17">
        <v>39448</v>
      </c>
      <c r="B184" s="16">
        <v>24.776425048425892</v>
      </c>
    </row>
    <row r="185" spans="1:2" ht="22.5" customHeight="1" x14ac:dyDescent="0.2">
      <c r="A185" s="17">
        <v>39479</v>
      </c>
      <c r="B185" s="16">
        <v>25.006185146929084</v>
      </c>
    </row>
    <row r="186" spans="1:2" ht="22.5" customHeight="1" x14ac:dyDescent="0.2">
      <c r="A186" s="17">
        <v>39508</v>
      </c>
      <c r="B186" s="16">
        <v>25.285663824124772</v>
      </c>
    </row>
    <row r="187" spans="1:2" ht="22.5" customHeight="1" x14ac:dyDescent="0.2">
      <c r="A187" s="17">
        <v>39539</v>
      </c>
      <c r="B187" s="16">
        <v>25.59753490865041</v>
      </c>
    </row>
    <row r="188" spans="1:2" ht="22.5" customHeight="1" x14ac:dyDescent="0.2">
      <c r="A188" s="17">
        <v>39569</v>
      </c>
      <c r="B188" s="16">
        <v>25.870987091459124</v>
      </c>
    </row>
    <row r="189" spans="1:2" ht="22.5" customHeight="1" x14ac:dyDescent="0.2">
      <c r="A189" s="17">
        <v>39600</v>
      </c>
      <c r="B189" s="16">
        <v>26.180598240589653</v>
      </c>
    </row>
    <row r="190" spans="1:2" ht="22.5" customHeight="1" x14ac:dyDescent="0.2">
      <c r="A190" s="17">
        <v>39630</v>
      </c>
      <c r="B190" s="16">
        <v>26.378719243561253</v>
      </c>
    </row>
    <row r="191" spans="1:2" ht="22.5" customHeight="1" x14ac:dyDescent="0.2">
      <c r="A191" s="17">
        <v>39661</v>
      </c>
      <c r="B191" s="16">
        <v>26.598686288685617</v>
      </c>
    </row>
    <row r="192" spans="1:2" ht="22.5" customHeight="1" x14ac:dyDescent="0.2">
      <c r="A192" s="17">
        <v>39692</v>
      </c>
      <c r="B192" s="16">
        <v>26.747088712964725</v>
      </c>
    </row>
    <row r="193" spans="1:2" ht="22.5" customHeight="1" x14ac:dyDescent="0.2">
      <c r="A193" s="17">
        <v>39722</v>
      </c>
      <c r="B193" s="16">
        <v>26.894737825445464</v>
      </c>
    </row>
    <row r="194" spans="1:2" ht="22.5" customHeight="1" x14ac:dyDescent="0.2">
      <c r="A194" s="17">
        <v>39753</v>
      </c>
      <c r="B194" s="16">
        <v>26.820159957406723</v>
      </c>
    </row>
    <row r="195" spans="1:2" ht="22.5" customHeight="1" x14ac:dyDescent="0.2">
      <c r="A195" s="17">
        <v>39783</v>
      </c>
      <c r="B195" s="16">
        <v>26.750101960158212</v>
      </c>
    </row>
    <row r="196" spans="1:2" ht="22.5" customHeight="1" x14ac:dyDescent="0.2">
      <c r="A196" s="17">
        <v>39814</v>
      </c>
      <c r="B196" s="16">
        <v>26.728255918005448</v>
      </c>
    </row>
    <row r="197" spans="1:2" ht="22.5" customHeight="1" x14ac:dyDescent="0.2">
      <c r="A197" s="17">
        <v>39845</v>
      </c>
      <c r="B197" s="16">
        <v>26.765921507924006</v>
      </c>
    </row>
    <row r="198" spans="1:2" ht="22.5" customHeight="1" x14ac:dyDescent="0.2">
      <c r="A198" s="17">
        <v>39873</v>
      </c>
      <c r="B198" s="16">
        <v>27.072519409861048</v>
      </c>
    </row>
    <row r="199" spans="1:2" ht="22.5" customHeight="1" x14ac:dyDescent="0.2">
      <c r="A199" s="17">
        <v>39904</v>
      </c>
      <c r="B199" s="16">
        <v>27.200582415584137</v>
      </c>
    </row>
    <row r="200" spans="1:2" ht="22.5" customHeight="1" x14ac:dyDescent="0.2">
      <c r="A200" s="17">
        <v>39934</v>
      </c>
      <c r="B200" s="16">
        <v>27.330152044903969</v>
      </c>
    </row>
    <row r="201" spans="1:2" ht="22.5" customHeight="1" x14ac:dyDescent="0.2">
      <c r="A201" s="17">
        <v>39965</v>
      </c>
      <c r="B201" s="16">
        <v>27.639009882236124</v>
      </c>
    </row>
    <row r="202" spans="1:2" ht="22.5" customHeight="1" x14ac:dyDescent="0.2">
      <c r="A202" s="17">
        <v>39995</v>
      </c>
      <c r="B202" s="16">
        <v>27.983273374091723</v>
      </c>
    </row>
    <row r="203" spans="1:2" ht="22.5" customHeight="1" x14ac:dyDescent="0.2">
      <c r="A203" s="17">
        <v>40026</v>
      </c>
      <c r="B203" s="16">
        <v>28.274805040061342</v>
      </c>
    </row>
    <row r="204" spans="1:2" ht="22.5" customHeight="1" x14ac:dyDescent="0.2">
      <c r="A204" s="17">
        <v>40057</v>
      </c>
      <c r="B204" s="16">
        <v>28.56407677063585</v>
      </c>
    </row>
    <row r="205" spans="1:2" ht="22.5" customHeight="1" x14ac:dyDescent="0.2">
      <c r="A205" s="17">
        <v>40087</v>
      </c>
      <c r="B205" s="16">
        <v>28.82848921186411</v>
      </c>
    </row>
    <row r="206" spans="1:2" ht="22.5" customHeight="1" x14ac:dyDescent="0.2">
      <c r="A206" s="17">
        <v>40118</v>
      </c>
      <c r="B206" s="16">
        <v>29.132073866607673</v>
      </c>
    </row>
    <row r="207" spans="1:2" ht="22.5" customHeight="1" x14ac:dyDescent="0.2">
      <c r="A207" s="17">
        <v>40148</v>
      </c>
      <c r="B207" s="16">
        <v>29.496676777019289</v>
      </c>
    </row>
    <row r="208" spans="1:2" ht="22.5" customHeight="1" x14ac:dyDescent="0.2">
      <c r="A208" s="17">
        <v>40179</v>
      </c>
      <c r="B208" s="16">
        <v>29.894425406559233</v>
      </c>
    </row>
    <row r="209" spans="1:2" ht="22.5" customHeight="1" x14ac:dyDescent="0.2">
      <c r="A209" s="17">
        <v>40210</v>
      </c>
      <c r="B209" s="16">
        <v>30.353945603565613</v>
      </c>
    </row>
    <row r="210" spans="1:2" ht="22.5" customHeight="1" x14ac:dyDescent="0.2">
      <c r="A210" s="17">
        <v>40238</v>
      </c>
      <c r="B210" s="16">
        <v>30.814972424168737</v>
      </c>
    </row>
    <row r="211" spans="1:2" ht="22.5" customHeight="1" x14ac:dyDescent="0.2">
      <c r="A211" s="17">
        <v>40269</v>
      </c>
      <c r="B211" s="16">
        <v>31.171288904798274</v>
      </c>
    </row>
    <row r="212" spans="1:2" ht="22.5" customHeight="1" x14ac:dyDescent="0.2">
      <c r="A212" s="17">
        <v>40299</v>
      </c>
      <c r="B212" s="16">
        <v>31.547944803983828</v>
      </c>
    </row>
    <row r="213" spans="1:2" ht="22.5" customHeight="1" x14ac:dyDescent="0.2">
      <c r="A213" s="17">
        <v>40330</v>
      </c>
      <c r="B213" s="16">
        <v>31.931380509354724</v>
      </c>
    </row>
    <row r="214" spans="1:2" ht="22.5" customHeight="1" x14ac:dyDescent="0.2">
      <c r="A214" s="17">
        <v>40360</v>
      </c>
      <c r="B214" s="16">
        <v>32.24023834668688</v>
      </c>
    </row>
    <row r="215" spans="1:2" ht="22.5" customHeight="1" x14ac:dyDescent="0.2">
      <c r="A215" s="17">
        <v>40391</v>
      </c>
      <c r="B215" s="16">
        <v>32.561902484591343</v>
      </c>
    </row>
    <row r="216" spans="1:2" ht="22.5" customHeight="1" x14ac:dyDescent="0.2">
      <c r="A216" s="17">
        <v>40422</v>
      </c>
      <c r="B216" s="16">
        <v>32.865487139334903</v>
      </c>
    </row>
    <row r="217" spans="1:2" ht="22.5" customHeight="1" x14ac:dyDescent="0.2">
      <c r="A217" s="17">
        <v>40452</v>
      </c>
      <c r="B217" s="16">
        <v>33.163045299691497</v>
      </c>
    </row>
    <row r="218" spans="1:2" ht="22.5" customHeight="1" x14ac:dyDescent="0.2">
      <c r="A218" s="17">
        <v>40483</v>
      </c>
      <c r="B218" s="16">
        <v>33.475669696015501</v>
      </c>
    </row>
    <row r="219" spans="1:2" ht="22.5" customHeight="1" x14ac:dyDescent="0.2">
      <c r="A219" s="17">
        <v>40513</v>
      </c>
      <c r="B219" s="16">
        <v>33.791307339532999</v>
      </c>
    </row>
    <row r="220" spans="1:2" ht="22.5" customHeight="1" x14ac:dyDescent="0.2">
      <c r="A220" s="17">
        <v>40544</v>
      </c>
      <c r="B220" s="16">
        <v>34.161183432533221</v>
      </c>
    </row>
    <row r="221" spans="1:2" ht="22.5" customHeight="1" x14ac:dyDescent="0.2">
      <c r="A221" s="17">
        <v>40575</v>
      </c>
      <c r="B221" s="16">
        <v>34.479081011445828</v>
      </c>
    </row>
    <row r="222" spans="1:2" ht="22.5" customHeight="1" x14ac:dyDescent="0.2">
      <c r="A222" s="17">
        <v>40603</v>
      </c>
      <c r="B222" s="16">
        <v>34.81053820272912</v>
      </c>
    </row>
    <row r="223" spans="1:2" ht="22.5" customHeight="1" x14ac:dyDescent="0.2">
      <c r="A223" s="17">
        <v>40634</v>
      </c>
      <c r="B223" s="16">
        <v>35.160074877173315</v>
      </c>
    </row>
    <row r="224" spans="1:2" ht="22.5" customHeight="1" x14ac:dyDescent="0.2">
      <c r="A224" s="17">
        <v>40664</v>
      </c>
      <c r="B224" s="16">
        <v>35.521664540391448</v>
      </c>
    </row>
    <row r="225" spans="1:2" ht="22.5" customHeight="1" x14ac:dyDescent="0.2">
      <c r="A225" s="17">
        <v>40695</v>
      </c>
      <c r="B225" s="16">
        <v>35.926946287915108</v>
      </c>
    </row>
    <row r="226" spans="1:2" ht="22.5" customHeight="1" x14ac:dyDescent="0.2">
      <c r="A226" s="17">
        <v>40725</v>
      </c>
      <c r="B226" s="16">
        <v>36.288535951133241</v>
      </c>
    </row>
    <row r="227" spans="1:2" ht="22.5" customHeight="1" x14ac:dyDescent="0.2">
      <c r="A227" s="17">
        <v>40756</v>
      </c>
      <c r="B227" s="16">
        <v>36.656905420536717</v>
      </c>
    </row>
    <row r="228" spans="1:2" ht="22.5" customHeight="1" x14ac:dyDescent="0.2">
      <c r="A228" s="17">
        <v>40787</v>
      </c>
      <c r="B228" s="16">
        <v>37.032808007923897</v>
      </c>
    </row>
    <row r="229" spans="1:2" ht="22.5" customHeight="1" x14ac:dyDescent="0.2">
      <c r="A229" s="17">
        <v>40817</v>
      </c>
      <c r="B229" s="16">
        <v>37.370291693594154</v>
      </c>
    </row>
    <row r="230" spans="1:2" ht="22.5" customHeight="1" x14ac:dyDescent="0.2">
      <c r="A230" s="17">
        <v>40848</v>
      </c>
      <c r="B230" s="16">
        <v>37.726608174223692</v>
      </c>
    </row>
    <row r="231" spans="1:2" ht="22.5" customHeight="1" x14ac:dyDescent="0.2">
      <c r="A231" s="17">
        <v>40878</v>
      </c>
      <c r="B231" s="16">
        <v>38.073884913272778</v>
      </c>
    </row>
    <row r="232" spans="1:2" ht="22.5" customHeight="1" x14ac:dyDescent="0.2">
      <c r="A232" s="17">
        <v>40909</v>
      </c>
      <c r="B232" s="16">
        <v>38.438487823684397</v>
      </c>
    </row>
    <row r="233" spans="1:2" ht="22.5" customHeight="1" x14ac:dyDescent="0.2">
      <c r="A233" s="17">
        <v>40940</v>
      </c>
      <c r="B233" s="16">
        <v>38.818156970063434</v>
      </c>
    </row>
    <row r="234" spans="1:2" ht="22.5" customHeight="1" x14ac:dyDescent="0.2">
      <c r="A234" s="17">
        <v>40969</v>
      </c>
      <c r="B234" s="16">
        <v>39.276923855271441</v>
      </c>
    </row>
    <row r="235" spans="1:2" ht="22.5" customHeight="1" x14ac:dyDescent="0.2">
      <c r="A235" s="17">
        <v>41000</v>
      </c>
      <c r="B235" s="16">
        <v>39.721377816310394</v>
      </c>
    </row>
    <row r="236" spans="1:2" ht="22.5" customHeight="1" x14ac:dyDescent="0.2">
      <c r="A236" s="17">
        <v>41030</v>
      </c>
      <c r="B236" s="16">
        <v>40.126659563834053</v>
      </c>
    </row>
    <row r="237" spans="1:2" ht="22.5" customHeight="1" x14ac:dyDescent="0.2">
      <c r="A237" s="17">
        <v>41061</v>
      </c>
      <c r="B237" s="16">
        <v>40.524408193374008</v>
      </c>
    </row>
    <row r="238" spans="1:2" ht="22.5" customHeight="1" x14ac:dyDescent="0.2">
      <c r="A238" s="17">
        <v>41091</v>
      </c>
      <c r="B238" s="16">
        <v>40.917636952123722</v>
      </c>
    </row>
    <row r="239" spans="1:2" ht="22.5" customHeight="1" x14ac:dyDescent="0.2">
      <c r="A239" s="17">
        <v>41122</v>
      </c>
      <c r="B239" s="16">
        <v>41.340998182808292</v>
      </c>
    </row>
    <row r="240" spans="1:2" ht="22.5" customHeight="1" x14ac:dyDescent="0.2">
      <c r="A240" s="17">
        <v>41153</v>
      </c>
      <c r="B240" s="16">
        <v>41.801271691613039</v>
      </c>
    </row>
    <row r="241" spans="1:2" ht="22.5" customHeight="1" x14ac:dyDescent="0.2">
      <c r="A241" s="17">
        <v>41183</v>
      </c>
      <c r="B241" s="16">
        <v>42.23367266387806</v>
      </c>
    </row>
    <row r="242" spans="1:2" ht="22.5" customHeight="1" x14ac:dyDescent="0.2">
      <c r="A242" s="17">
        <v>41214</v>
      </c>
      <c r="B242" s="16">
        <v>42.657787206360993</v>
      </c>
    </row>
    <row r="243" spans="1:2" ht="22.5" customHeight="1" x14ac:dyDescent="0.2">
      <c r="A243" s="17">
        <v>41244</v>
      </c>
      <c r="B243" s="16">
        <v>43.072108695465111</v>
      </c>
    </row>
    <row r="244" spans="1:2" ht="22.5" customHeight="1" x14ac:dyDescent="0.2">
      <c r="A244" s="17">
        <v>41275</v>
      </c>
      <c r="B244" s="16">
        <v>43.509782850318729</v>
      </c>
    </row>
    <row r="245" spans="1:2" ht="22.5" customHeight="1" x14ac:dyDescent="0.2">
      <c r="A245" s="17">
        <v>41306</v>
      </c>
      <c r="B245" s="16">
        <v>43.969303047325099</v>
      </c>
    </row>
    <row r="246" spans="1:2" ht="22.5" customHeight="1" x14ac:dyDescent="0.2">
      <c r="A246" s="17">
        <v>41334</v>
      </c>
      <c r="B246" s="16">
        <v>44.412250384767312</v>
      </c>
    </row>
    <row r="247" spans="1:2" ht="22.5" customHeight="1" x14ac:dyDescent="0.2">
      <c r="A247" s="17">
        <v>41365</v>
      </c>
      <c r="B247" s="16">
        <v>44.838624862645368</v>
      </c>
    </row>
    <row r="248" spans="1:2" ht="22.5" customHeight="1" x14ac:dyDescent="0.2">
      <c r="A248" s="17">
        <v>41395</v>
      </c>
      <c r="B248" s="16">
        <v>45.402102087826961</v>
      </c>
    </row>
    <row r="249" spans="1:2" ht="22.5" customHeight="1" x14ac:dyDescent="0.2">
      <c r="A249" s="17">
        <v>41426</v>
      </c>
      <c r="B249" s="16">
        <v>46.013037956305929</v>
      </c>
    </row>
    <row r="250" spans="1:2" ht="22.5" customHeight="1" x14ac:dyDescent="0.2">
      <c r="A250" s="17">
        <v>41456</v>
      </c>
      <c r="B250" s="16">
        <v>46.534329720778743</v>
      </c>
    </row>
    <row r="251" spans="1:2" ht="22.5" customHeight="1" x14ac:dyDescent="0.2">
      <c r="A251" s="17">
        <v>41487</v>
      </c>
      <c r="B251" s="16">
        <v>47.060894667840152</v>
      </c>
    </row>
    <row r="252" spans="1:2" ht="22.5" customHeight="1" x14ac:dyDescent="0.2">
      <c r="A252" s="17">
        <v>41518</v>
      </c>
      <c r="B252" s="16">
        <v>47.575406626127617</v>
      </c>
    </row>
    <row r="253" spans="1:2" ht="22.5" customHeight="1" x14ac:dyDescent="0.2">
      <c r="A253" s="17">
        <v>41548</v>
      </c>
      <c r="B253" s="16">
        <v>48.11779112095482</v>
      </c>
    </row>
    <row r="254" spans="1:2" ht="22.5" customHeight="1" x14ac:dyDescent="0.2">
      <c r="A254" s="17">
        <v>41579</v>
      </c>
      <c r="B254" s="16">
        <v>48.703114388289173</v>
      </c>
    </row>
    <row r="255" spans="1:2" ht="22.5" customHeight="1" x14ac:dyDescent="0.2">
      <c r="A255" s="17">
        <v>41609</v>
      </c>
      <c r="B255" s="16">
        <v>49.430060273717295</v>
      </c>
    </row>
    <row r="256" spans="1:2" ht="22.5" customHeight="1" x14ac:dyDescent="0.2">
      <c r="A256" s="17">
        <v>41640</v>
      </c>
      <c r="B256" s="16">
        <v>51.878323618423416</v>
      </c>
    </row>
    <row r="257" spans="1:2" ht="22.5" customHeight="1" x14ac:dyDescent="0.2">
      <c r="A257" s="17">
        <v>41671</v>
      </c>
      <c r="B257" s="16">
        <v>54.535254331278338</v>
      </c>
    </row>
    <row r="258" spans="1:2" ht="22.5" customHeight="1" x14ac:dyDescent="0.2">
      <c r="A258" s="17">
        <v>41699</v>
      </c>
      <c r="B258" s="16">
        <v>55.862589720008231</v>
      </c>
    </row>
    <row r="259" spans="1:2" ht="22.5" customHeight="1" x14ac:dyDescent="0.2">
      <c r="A259" s="17">
        <v>41730</v>
      </c>
      <c r="B259" s="16">
        <v>56.823062262931394</v>
      </c>
    </row>
    <row r="260" spans="1:2" ht="22.5" customHeight="1" x14ac:dyDescent="0.2">
      <c r="A260" s="17">
        <v>41760</v>
      </c>
      <c r="B260" s="16">
        <v>57.884478586836295</v>
      </c>
    </row>
    <row r="261" spans="1:2" ht="22.5" customHeight="1" x14ac:dyDescent="0.2">
      <c r="A261" s="17">
        <v>41791</v>
      </c>
      <c r="B261" s="16">
        <v>58.756060337551681</v>
      </c>
    </row>
    <row r="262" spans="1:2" ht="22.5" customHeight="1" x14ac:dyDescent="0.2">
      <c r="A262" s="17">
        <v>41821</v>
      </c>
      <c r="B262" s="16">
        <v>59.547037725841342</v>
      </c>
    </row>
    <row r="263" spans="1:2" ht="22.5" customHeight="1" x14ac:dyDescent="0.2">
      <c r="A263" s="17">
        <v>41852</v>
      </c>
      <c r="B263" s="16">
        <v>60.518809945740081</v>
      </c>
    </row>
    <row r="264" spans="1:2" ht="22.5" customHeight="1" x14ac:dyDescent="0.2">
      <c r="A264" s="17">
        <v>41883</v>
      </c>
      <c r="B264" s="16">
        <v>61.48380235945347</v>
      </c>
    </row>
    <row r="265" spans="1:2" ht="22.5" customHeight="1" x14ac:dyDescent="0.2">
      <c r="A265" s="17">
        <v>41913</v>
      </c>
      <c r="B265" s="16">
        <v>62.237114157824585</v>
      </c>
    </row>
    <row r="266" spans="1:2" ht="22.5" customHeight="1" x14ac:dyDescent="0.2">
      <c r="A266" s="17">
        <v>41944</v>
      </c>
      <c r="B266" s="16">
        <v>62.805111253796404</v>
      </c>
    </row>
    <row r="267" spans="1:2" ht="22.5" customHeight="1" x14ac:dyDescent="0.2">
      <c r="A267" s="17">
        <v>41974</v>
      </c>
      <c r="B267" s="16">
        <v>63.403240821703065</v>
      </c>
    </row>
    <row r="268" spans="1:2" ht="22.5" customHeight="1" x14ac:dyDescent="0.2">
      <c r="A268" s="17">
        <v>42005</v>
      </c>
      <c r="B268" s="16">
        <v>63.530550515627787</v>
      </c>
    </row>
    <row r="269" spans="1:2" ht="22.5" customHeight="1" x14ac:dyDescent="0.2">
      <c r="A269" s="17">
        <v>42036</v>
      </c>
      <c r="B269" s="16">
        <v>63.688745993285721</v>
      </c>
    </row>
    <row r="270" spans="1:2" ht="22.5" customHeight="1" x14ac:dyDescent="0.2">
      <c r="A270" s="17">
        <v>42064</v>
      </c>
      <c r="B270" s="16">
        <v>64.313241474135367</v>
      </c>
    </row>
    <row r="271" spans="1:2" ht="22.5" customHeight="1" x14ac:dyDescent="0.2">
      <c r="A271" s="17">
        <v>42095</v>
      </c>
      <c r="B271" s="16">
        <v>64.792347777899408</v>
      </c>
    </row>
    <row r="272" spans="1:2" ht="22.5" customHeight="1" x14ac:dyDescent="0.2">
      <c r="A272" s="17">
        <v>42125</v>
      </c>
      <c r="B272" s="16">
        <v>65.752820320822565</v>
      </c>
    </row>
    <row r="273" spans="1:2" ht="22.5" customHeight="1" x14ac:dyDescent="0.2">
      <c r="A273" s="17">
        <v>42156</v>
      </c>
      <c r="B273" s="16">
        <v>66.617622265352608</v>
      </c>
    </row>
    <row r="274" spans="1:2" ht="22.5" customHeight="1" x14ac:dyDescent="0.2">
      <c r="A274" s="17">
        <v>42186</v>
      </c>
      <c r="B274" s="16">
        <v>67.575081561082285</v>
      </c>
    </row>
    <row r="275" spans="1:2" ht="22.5" customHeight="1" x14ac:dyDescent="0.2">
      <c r="A275" s="17">
        <v>42217</v>
      </c>
      <c r="B275" s="16">
        <v>68.540073974795689</v>
      </c>
    </row>
    <row r="276" spans="1:2" ht="22.5" customHeight="1" x14ac:dyDescent="0.2">
      <c r="A276" s="17">
        <v>42248</v>
      </c>
      <c r="B276" s="16">
        <v>69.465894174993778</v>
      </c>
    </row>
    <row r="277" spans="1:2" s="19" customFormat="1" ht="22.5" customHeight="1" x14ac:dyDescent="0.2">
      <c r="A277" s="17">
        <v>42278</v>
      </c>
      <c r="B277" s="16">
        <v>70.109975762601096</v>
      </c>
    </row>
    <row r="278" spans="1:2" s="19" customFormat="1" ht="22.5" customHeight="1" x14ac:dyDescent="0.2">
      <c r="A278" s="17">
        <v>42309</v>
      </c>
      <c r="B278" s="20">
        <v>71.512175277853103</v>
      </c>
    </row>
    <row r="279" spans="1:2" s="19" customFormat="1" ht="22.5" customHeight="1" x14ac:dyDescent="0.2">
      <c r="A279" s="17">
        <v>42339</v>
      </c>
      <c r="B279" s="20">
        <v>74.301150113689374</v>
      </c>
    </row>
    <row r="280" spans="1:2" s="19" customFormat="1" ht="22.5" customHeight="1" x14ac:dyDescent="0.2">
      <c r="A280" s="17">
        <v>42370</v>
      </c>
      <c r="B280" s="21">
        <v>80.988253623921409</v>
      </c>
    </row>
    <row r="281" spans="1:2" s="19" customFormat="1" ht="22.5" customHeight="1" x14ac:dyDescent="0.2">
      <c r="A281" s="17">
        <v>42401</v>
      </c>
      <c r="B281" s="21">
        <v>85.037666305117483</v>
      </c>
    </row>
    <row r="282" spans="1:2" s="19" customFormat="1" ht="22.5" customHeight="1" x14ac:dyDescent="0.2">
      <c r="A282" s="17">
        <v>42430</v>
      </c>
      <c r="B282" s="21">
        <v>87.078570296440319</v>
      </c>
    </row>
    <row r="283" spans="1:2" s="19" customFormat="1" ht="22.5" customHeight="1" x14ac:dyDescent="0.2">
      <c r="A283" s="17">
        <v>42461</v>
      </c>
      <c r="B283" s="21">
        <v>88.384748850886908</v>
      </c>
    </row>
    <row r="284" spans="1:2" s="19" customFormat="1" ht="22.5" customHeight="1" x14ac:dyDescent="0.2">
      <c r="A284" s="17">
        <v>42491</v>
      </c>
      <c r="B284" s="21">
        <v>91.566599809518848</v>
      </c>
    </row>
    <row r="285" spans="1:2" s="19" customFormat="1" ht="22.5" customHeight="1" x14ac:dyDescent="0.2">
      <c r="A285" s="17">
        <v>42522</v>
      </c>
      <c r="B285" s="21">
        <v>94.222031203994888</v>
      </c>
    </row>
    <row r="286" spans="1:2" s="19" customFormat="1" ht="22.5" customHeight="1" x14ac:dyDescent="0.2">
      <c r="A286" s="17">
        <v>42552</v>
      </c>
      <c r="B286" s="21">
        <v>96.766026046502745</v>
      </c>
    </row>
    <row r="287" spans="1:2" s="19" customFormat="1" ht="22.5" customHeight="1" x14ac:dyDescent="0.2">
      <c r="A287" s="17">
        <v>42583</v>
      </c>
      <c r="B287" s="21">
        <v>97.153090150688755</v>
      </c>
    </row>
    <row r="288" spans="1:2" s="19" customFormat="1" ht="22.5" customHeight="1" x14ac:dyDescent="0.2">
      <c r="A288" s="17">
        <v>42614</v>
      </c>
      <c r="B288" s="21">
        <v>97.541702511291518</v>
      </c>
    </row>
    <row r="289" spans="1:2" s="19" customFormat="1" ht="22.5" customHeight="1" x14ac:dyDescent="0.2">
      <c r="A289" s="17">
        <v>42644</v>
      </c>
      <c r="B289" s="21">
        <v>98.126952726359278</v>
      </c>
    </row>
    <row r="290" spans="1:2" s="19" customFormat="1" ht="22.5" customHeight="1" x14ac:dyDescent="0.2">
      <c r="A290" s="17">
        <v>42675</v>
      </c>
      <c r="B290" s="21">
        <v>99.206349206349216</v>
      </c>
    </row>
    <row r="291" spans="1:2" s="19" customFormat="1" ht="22.5" customHeight="1" x14ac:dyDescent="0.2">
      <c r="A291" s="17">
        <v>42705</v>
      </c>
      <c r="B291" s="21">
        <v>100.00000000000001</v>
      </c>
    </row>
    <row r="292" spans="1:2" s="19" customFormat="1" ht="22.5" customHeight="1" x14ac:dyDescent="0.2">
      <c r="A292" s="17">
        <v>42736</v>
      </c>
      <c r="B292" s="21">
        <v>101.5859</v>
      </c>
    </row>
    <row r="293" spans="1:2" s="19" customFormat="1" ht="22.5" customHeight="1" x14ac:dyDescent="0.2">
      <c r="A293" s="17">
        <v>42767</v>
      </c>
      <c r="B293" s="21">
        <v>103.6859</v>
      </c>
    </row>
    <row r="294" spans="1:2" s="19" customFormat="1" ht="22.5" customHeight="1" x14ac:dyDescent="0.2">
      <c r="A294" s="17">
        <v>42795</v>
      </c>
      <c r="B294" s="21">
        <v>106.1476</v>
      </c>
    </row>
    <row r="295" spans="1:2" s="19" customFormat="1" ht="22.5" customHeight="1" x14ac:dyDescent="0.2">
      <c r="A295" s="17">
        <v>42826</v>
      </c>
      <c r="B295" s="21">
        <v>108.9667</v>
      </c>
    </row>
    <row r="296" spans="1:2" s="19" customFormat="1" ht="22.5" customHeight="1" x14ac:dyDescent="0.2">
      <c r="A296" s="17">
        <v>42856</v>
      </c>
      <c r="B296" s="21">
        <v>110.5301</v>
      </c>
    </row>
    <row r="297" spans="1:2" s="19" customFormat="1" ht="22.5" customHeight="1" x14ac:dyDescent="0.2">
      <c r="A297" s="17">
        <v>42887</v>
      </c>
      <c r="B297" s="21">
        <v>111.8477</v>
      </c>
    </row>
    <row r="298" spans="1:2" s="19" customFormat="1" ht="22.5" customHeight="1" x14ac:dyDescent="0.2">
      <c r="A298" s="17">
        <v>42917</v>
      </c>
      <c r="B298" s="21">
        <v>113.7852</v>
      </c>
    </row>
    <row r="299" spans="1:2" s="19" customFormat="1" ht="22.5" customHeight="1" x14ac:dyDescent="0.2">
      <c r="A299" s="17">
        <v>42948</v>
      </c>
      <c r="B299" s="21">
        <v>115.3819</v>
      </c>
    </row>
    <row r="300" spans="1:2" s="19" customFormat="1" ht="22.5" customHeight="1" x14ac:dyDescent="0.2">
      <c r="A300" s="17">
        <v>42979</v>
      </c>
      <c r="B300" s="21">
        <v>117.5719</v>
      </c>
    </row>
    <row r="301" spans="1:2" s="19" customFormat="1" ht="22.5" customHeight="1" x14ac:dyDescent="0.2">
      <c r="A301" s="17">
        <v>43009</v>
      </c>
      <c r="B301" s="21">
        <v>119.3528</v>
      </c>
    </row>
    <row r="302" spans="1:2" s="19" customFormat="1" ht="22.5" customHeight="1" x14ac:dyDescent="0.2">
      <c r="A302" s="17">
        <v>43040</v>
      </c>
      <c r="B302" s="21">
        <v>120.994</v>
      </c>
    </row>
    <row r="303" spans="1:2" s="19" customFormat="1" ht="22.5" customHeight="1" x14ac:dyDescent="0.2">
      <c r="A303" s="17">
        <v>43070</v>
      </c>
      <c r="B303" s="21">
        <v>124.79559999999999</v>
      </c>
    </row>
    <row r="304" spans="1:2" ht="22.5" customHeight="1" x14ac:dyDescent="0.2">
      <c r="A304" s="17">
        <v>43101</v>
      </c>
      <c r="B304" s="21">
        <v>126.98869999999999</v>
      </c>
    </row>
    <row r="305" spans="1:2" ht="22.5" customHeight="1" x14ac:dyDescent="0.2">
      <c r="A305" s="17">
        <v>43132</v>
      </c>
      <c r="B305" s="21">
        <v>130.06059999999999</v>
      </c>
    </row>
    <row r="306" spans="1:2" ht="22.5" customHeight="1" x14ac:dyDescent="0.2">
      <c r="A306" s="17">
        <v>43160</v>
      </c>
      <c r="B306" s="21">
        <v>133.1054</v>
      </c>
    </row>
    <row r="307" spans="1:2" ht="22.5" customHeight="1" x14ac:dyDescent="0.2">
      <c r="A307" s="17">
        <v>43191</v>
      </c>
      <c r="B307" s="21">
        <v>136.75120000000001</v>
      </c>
    </row>
    <row r="308" spans="1:2" ht="22.5" customHeight="1" x14ac:dyDescent="0.2">
      <c r="A308" s="17">
        <v>43221</v>
      </c>
      <c r="B308" s="21">
        <v>139.58930000000001</v>
      </c>
    </row>
    <row r="309" spans="1:2" ht="22.5" customHeight="1" x14ac:dyDescent="0.2">
      <c r="A309" s="17">
        <v>43252</v>
      </c>
      <c r="B309" s="21">
        <v>144.80529999999999</v>
      </c>
    </row>
    <row r="310" spans="1:2" ht="22.5" customHeight="1" x14ac:dyDescent="0.2">
      <c r="A310" s="17">
        <v>43282</v>
      </c>
      <c r="B310" s="21">
        <v>149.29660000000001</v>
      </c>
    </row>
    <row r="311" spans="1:2" ht="22.5" customHeight="1" x14ac:dyDescent="0.2">
      <c r="A311" s="22">
        <v>43313</v>
      </c>
      <c r="B311" s="23">
        <v>155.10339999999999</v>
      </c>
    </row>
    <row r="312" spans="1:2" ht="22.5" customHeight="1" x14ac:dyDescent="0.2">
      <c r="A312" s="17">
        <v>43344</v>
      </c>
      <c r="B312" s="21">
        <v>165.23830000000001</v>
      </c>
    </row>
    <row r="313" spans="1:2" ht="22.5" customHeight="1" x14ac:dyDescent="0.2">
      <c r="A313" s="17">
        <v>43374</v>
      </c>
      <c r="B313" s="21">
        <v>174.1473</v>
      </c>
    </row>
    <row r="314" spans="1:2" ht="22.5" customHeight="1" x14ac:dyDescent="0.2">
      <c r="A314" s="17">
        <v>43405</v>
      </c>
      <c r="B314" s="21">
        <v>179.6388</v>
      </c>
    </row>
    <row r="315" spans="1:2" ht="22.5" customHeight="1" x14ac:dyDescent="0.2">
      <c r="A315" s="17">
        <v>43435</v>
      </c>
      <c r="B315" s="21">
        <v>184.2552</v>
      </c>
    </row>
    <row r="316" spans="1:2" ht="22.5" customHeight="1" x14ac:dyDescent="0.2">
      <c r="A316" s="17">
        <v>43466</v>
      </c>
      <c r="B316" s="21">
        <v>189.61009999999999</v>
      </c>
    </row>
    <row r="317" spans="1:2" ht="27.75" customHeight="1" x14ac:dyDescent="0.2">
      <c r="A317" s="17">
        <v>43497</v>
      </c>
      <c r="B317" s="21">
        <v>196.7501</v>
      </c>
    </row>
    <row r="318" spans="1:2" ht="27.75" customHeight="1" x14ac:dyDescent="0.2">
      <c r="A318" s="17">
        <v>43525</v>
      </c>
      <c r="B318" s="21">
        <v>205.9571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</vt:i4>
      </vt:variant>
    </vt:vector>
  </HeadingPairs>
  <TitlesOfParts>
    <vt:vector size="24" baseType="lpstr">
      <vt:lpstr>Saldos_base_presentac</vt:lpstr>
      <vt:lpstr>ESP</vt:lpstr>
      <vt:lpstr>EERR</vt:lpstr>
      <vt:lpstr>EEPN</vt:lpstr>
      <vt:lpstr>EFE</vt:lpstr>
      <vt:lpstr>ANEXO - BU</vt:lpstr>
      <vt:lpstr>NOTA - IIGG</vt:lpstr>
      <vt:lpstr>Asiento</vt:lpstr>
      <vt:lpstr>ipc empalme ipim</vt:lpstr>
      <vt:lpstr>Paso 1.1</vt:lpstr>
      <vt:lpstr>Paso 1.2</vt:lpstr>
      <vt:lpstr>AUX-BU paso 1.2</vt:lpstr>
      <vt:lpstr>AUX-PID paso 1.2</vt:lpstr>
      <vt:lpstr>Paso 2</vt:lpstr>
      <vt:lpstr>Paso 3.1</vt:lpstr>
      <vt:lpstr>Paso 3.2</vt:lpstr>
      <vt:lpstr>Paso 4</vt:lpstr>
      <vt:lpstr>Paso 5.1</vt:lpstr>
      <vt:lpstr>Paso 5.2</vt:lpstr>
      <vt:lpstr>AUX-BU paso 5.2</vt:lpstr>
      <vt:lpstr>AUX-PID paso 5.2</vt:lpstr>
      <vt:lpstr>Paso 6</vt:lpstr>
      <vt:lpstr>AUX-Res-paso 6</vt:lpstr>
      <vt:lpstr>'ipc empalme ipim'!Títulos_a_imprimir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Casinelli</dc:creator>
  <cp:lastModifiedBy>Cecilia Casanovas</cp:lastModifiedBy>
  <dcterms:created xsi:type="dcterms:W3CDTF">2019-05-02T00:07:29Z</dcterms:created>
  <dcterms:modified xsi:type="dcterms:W3CDTF">2019-05-08T16:21:51Z</dcterms:modified>
</cp:coreProperties>
</file>